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TRANSPARÊNCIA E PRESTAÇÃO DE CONTAS\PUBLICAÇÕES TRANSPARÊNCIA 2023\Execução Orçamentária\"/>
    </mc:Choice>
  </mc:AlternateContent>
  <xr:revisionPtr revIDLastSave="0" documentId="13_ncr:1_{7B90AFA2-0158-48E3-9751-424F14F63E1C}" xr6:coauthVersionLast="47" xr6:coauthVersionMax="47" xr10:uidLastSave="{00000000-0000-0000-0000-000000000000}"/>
  <bookViews>
    <workbookView xWindow="-108" yWindow="-108" windowWidth="23256" windowHeight="12576" tabRatio="886" activeTab="9" xr2:uid="{00000000-000D-0000-FFFF-FFFF00000000}"/>
  </bookViews>
  <sheets>
    <sheet name="Receita" sheetId="1" r:id="rId1"/>
    <sheet name="Arrecadação mensal" sheetId="16" r:id="rId2"/>
    <sheet name="Fontes de Recursos" sheetId="15" r:id="rId3"/>
    <sheet name="Saldo de Exercícios Anteriores" sheetId="14" r:id="rId4"/>
    <sheet name="Despesa" sheetId="7" r:id="rId5"/>
    <sheet name="Resultados financeiros" sheetId="17" r:id="rId6"/>
    <sheet name="Resumo" sheetId="8" r:id="rId7"/>
    <sheet name="Receita X Despesa" sheetId="9" r:id="rId8"/>
    <sheet name=" Fluxo de Caixa" sheetId="12" r:id="rId9"/>
    <sheet name="Ações" sheetId="13" r:id="rId10"/>
  </sheets>
  <externalReferences>
    <externalReference r:id="rId11"/>
  </externalReferences>
  <definedNames>
    <definedName name="_xlnm._FilterDatabase" localSheetId="9" hidden="1">Ações!$B$2:$J$3</definedName>
    <definedName name="_xlnm.Print_Area" localSheetId="8">' Fluxo de Caixa'!$B$3:$N$23</definedName>
    <definedName name="_xlnm.Print_Area" localSheetId="9">Ações!$B$2:$J$48</definedName>
    <definedName name="_xlnm.Print_Area" localSheetId="1">'Arrecadação mensal'!$B$2:$H$17</definedName>
    <definedName name="_xlnm.Print_Area" localSheetId="4">Despesa!$B$3:$J$68</definedName>
    <definedName name="_xlnm.Print_Area" localSheetId="2">'Fontes de Recursos'!$C$3:$H$14</definedName>
    <definedName name="_xlnm.Print_Area" localSheetId="0">Receita!$B$2:$H$41</definedName>
    <definedName name="_xlnm.Print_Area" localSheetId="7">'Receita X Despesa'!$B$2:$K$14</definedName>
    <definedName name="_xlnm.Print_Area" localSheetId="5">'Resultados financeiros'!$B$4:$D$12</definedName>
    <definedName name="_xlnm.Print_Area" localSheetId="6">Resumo!$B$3:$G$14</definedName>
    <definedName name="_xlnm.Print_Area" localSheetId="3">'Saldo de Exercícios Anteriores'!$B$3:$G$16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7" l="1"/>
  <c r="J27" i="7" l="1"/>
  <c r="J18" i="12" l="1"/>
  <c r="J13" i="12"/>
  <c r="J17" i="12" l="1"/>
  <c r="J16" i="13"/>
  <c r="J9" i="13" l="1"/>
  <c r="J8" i="13"/>
  <c r="H36" i="1"/>
  <c r="J16" i="12"/>
  <c r="F16" i="12"/>
  <c r="D10" i="16" l="1"/>
  <c r="H45" i="7" l="1"/>
  <c r="I39" i="7"/>
  <c r="H25" i="7"/>
  <c r="H26" i="7"/>
  <c r="H27" i="7"/>
  <c r="G7" i="15"/>
  <c r="F7" i="15" s="1"/>
  <c r="F6" i="15"/>
  <c r="G6" i="15"/>
  <c r="H7" i="15"/>
  <c r="G13" i="14" s="1"/>
  <c r="H6" i="15"/>
  <c r="J37" i="13"/>
  <c r="F33" i="13"/>
  <c r="F9" i="13"/>
  <c r="I14" i="12"/>
  <c r="F26" i="13"/>
  <c r="F15" i="12" l="1"/>
  <c r="H14" i="1"/>
  <c r="J14" i="12"/>
  <c r="F41" i="13"/>
  <c r="F42" i="13"/>
  <c r="F40" i="13"/>
  <c r="F29" i="13"/>
  <c r="F30" i="13"/>
  <c r="F31" i="13"/>
  <c r="F32" i="13"/>
  <c r="F34" i="13"/>
  <c r="F35" i="13"/>
  <c r="F36" i="13"/>
  <c r="F37" i="13"/>
  <c r="F28" i="13"/>
  <c r="F22" i="13"/>
  <c r="F23" i="13"/>
  <c r="F25" i="13"/>
  <c r="F24" i="13"/>
  <c r="F17" i="13"/>
  <c r="F16" i="13"/>
  <c r="F8" i="13"/>
  <c r="F7" i="13"/>
  <c r="M6" i="12"/>
  <c r="H8" i="12"/>
  <c r="H9" i="12"/>
  <c r="H10" i="12"/>
  <c r="H11" i="12"/>
  <c r="H12" i="12"/>
  <c r="H13" i="12"/>
  <c r="H14" i="12"/>
  <c r="H15" i="12"/>
  <c r="H16" i="12"/>
  <c r="H17" i="12"/>
  <c r="H18" i="12"/>
  <c r="H7" i="12"/>
  <c r="D8" i="12"/>
  <c r="D9" i="12"/>
  <c r="D10" i="12"/>
  <c r="D11" i="12"/>
  <c r="D12" i="12"/>
  <c r="D13" i="12"/>
  <c r="D14" i="12"/>
  <c r="D15" i="12"/>
  <c r="D16" i="12"/>
  <c r="D17" i="12"/>
  <c r="D18" i="12"/>
  <c r="D6" i="12"/>
  <c r="E7" i="12"/>
  <c r="D7" i="12" s="1"/>
  <c r="F14" i="12"/>
  <c r="E8" i="9"/>
  <c r="D8" i="9" s="1"/>
  <c r="C8" i="9"/>
  <c r="E5" i="8"/>
  <c r="E8" i="8"/>
  <c r="E9" i="8"/>
  <c r="H63" i="7"/>
  <c r="H41" i="7"/>
  <c r="H42" i="7"/>
  <c r="H43" i="7"/>
  <c r="H44" i="7"/>
  <c r="H46" i="7"/>
  <c r="H47" i="7"/>
  <c r="H48" i="7"/>
  <c r="H49" i="7"/>
  <c r="H50" i="7"/>
  <c r="H51" i="7"/>
  <c r="H40" i="7"/>
  <c r="H37" i="7"/>
  <c r="H36" i="7"/>
  <c r="H10" i="7"/>
  <c r="H14" i="7"/>
  <c r="H15" i="7"/>
  <c r="H16" i="7"/>
  <c r="H17" i="7"/>
  <c r="H18" i="7"/>
  <c r="H19" i="7"/>
  <c r="H13" i="7"/>
  <c r="F13" i="14"/>
  <c r="F9" i="14"/>
  <c r="F5" i="14"/>
  <c r="H8" i="15"/>
  <c r="E4" i="15"/>
  <c r="G4" i="15"/>
  <c r="F22" i="1"/>
  <c r="F23" i="1"/>
  <c r="F36" i="1"/>
  <c r="F40" i="1"/>
  <c r="F38" i="1"/>
  <c r="F18" i="1"/>
  <c r="F16" i="1"/>
  <c r="F12" i="1"/>
  <c r="M7" i="12" l="1"/>
  <c r="M8" i="12" s="1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F4" i="15"/>
  <c r="F13" i="12" l="1"/>
  <c r="D13" i="14"/>
  <c r="E13" i="14" s="1"/>
  <c r="E12" i="14" s="1"/>
  <c r="F12" i="14"/>
  <c r="G12" i="14"/>
  <c r="D12" i="14" l="1"/>
  <c r="E34" i="1"/>
  <c r="F34" i="1"/>
  <c r="G34" i="1"/>
  <c r="H34" i="1"/>
  <c r="J34" i="7"/>
  <c r="E5" i="15" l="1"/>
  <c r="D5" i="14" s="1"/>
  <c r="E5" i="14" s="1"/>
  <c r="J24" i="7" l="1"/>
  <c r="H11" i="1" l="1"/>
  <c r="J12" i="7" l="1"/>
  <c r="F39" i="13" l="1"/>
  <c r="G39" i="13"/>
  <c r="H39" i="13"/>
  <c r="I39" i="13"/>
  <c r="G10" i="13"/>
  <c r="H19" i="12"/>
  <c r="I19" i="12"/>
  <c r="D19" i="12"/>
  <c r="E19" i="12"/>
  <c r="H56" i="7" l="1"/>
  <c r="H54" i="7" s="1"/>
  <c r="I56" i="7"/>
  <c r="I54" i="7" s="1"/>
  <c r="I61" i="7"/>
  <c r="I34" i="7"/>
  <c r="I24" i="7"/>
  <c r="I12" i="7"/>
  <c r="F4" i="14"/>
  <c r="G9" i="15"/>
  <c r="G8" i="15"/>
  <c r="G5" i="15"/>
  <c r="F5" i="15" s="1"/>
  <c r="F14" i="1"/>
  <c r="F26" i="1"/>
  <c r="F20" i="1"/>
  <c r="G14" i="1"/>
  <c r="F11" i="1"/>
  <c r="F10" i="1" s="1"/>
  <c r="G11" i="1"/>
  <c r="G10" i="1" s="1"/>
  <c r="G20" i="1"/>
  <c r="F10" i="8" l="1"/>
  <c r="J8" i="9"/>
  <c r="I22" i="7"/>
  <c r="I32" i="7"/>
  <c r="F4" i="8"/>
  <c r="F6" i="8"/>
  <c r="E5" i="9"/>
  <c r="F8" i="14"/>
  <c r="F16" i="14" s="1"/>
  <c r="L19" i="12"/>
  <c r="E4" i="14"/>
  <c r="F8" i="1"/>
  <c r="G8" i="1"/>
  <c r="E7" i="9" s="1"/>
  <c r="E9" i="9" s="1"/>
  <c r="I8" i="7"/>
  <c r="G10" i="15"/>
  <c r="J6" i="9" l="1"/>
  <c r="F7" i="8"/>
  <c r="F11" i="8" s="1"/>
  <c r="J5" i="9"/>
  <c r="F6" i="13"/>
  <c r="G5" i="13"/>
  <c r="I30" i="7"/>
  <c r="G5" i="1"/>
  <c r="I6" i="7"/>
  <c r="I65" i="7" l="1"/>
  <c r="J7" i="9"/>
  <c r="J9" i="9" s="1"/>
  <c r="H9" i="15"/>
  <c r="G9" i="14" s="1"/>
  <c r="G8" i="14" s="1"/>
  <c r="F17" i="16" l="1"/>
  <c r="H16" i="16"/>
  <c r="F18" i="12" s="1"/>
  <c r="H15" i="16"/>
  <c r="F17" i="12" s="1"/>
  <c r="H14" i="16"/>
  <c r="H13" i="16"/>
  <c r="H12" i="16"/>
  <c r="H11" i="16"/>
  <c r="H10" i="16"/>
  <c r="F12" i="12" s="1"/>
  <c r="H9" i="16"/>
  <c r="F11" i="12" s="1"/>
  <c r="H6" i="16" l="1"/>
  <c r="F8" i="12" s="1"/>
  <c r="C17" i="16"/>
  <c r="H8" i="16"/>
  <c r="F10" i="12" s="1"/>
  <c r="H7" i="16"/>
  <c r="F9" i="12" l="1"/>
  <c r="H4" i="15"/>
  <c r="N6" i="12"/>
  <c r="G4" i="8" l="1"/>
  <c r="G10" i="8"/>
  <c r="K8" i="9"/>
  <c r="J7" i="13" l="1"/>
  <c r="J39" i="13" l="1"/>
  <c r="J61" i="7"/>
  <c r="J56" i="7"/>
  <c r="J54" i="7" s="1"/>
  <c r="J22" i="7"/>
  <c r="G7" i="8" l="1"/>
  <c r="K6" i="9"/>
  <c r="J39" i="7"/>
  <c r="J8" i="7"/>
  <c r="H30" i="1"/>
  <c r="H29" i="1" s="1"/>
  <c r="G17" i="16" s="1"/>
  <c r="J6" i="7" l="1"/>
  <c r="G6" i="8"/>
  <c r="J6" i="13"/>
  <c r="J5" i="13" s="1"/>
  <c r="J32" i="7"/>
  <c r="H20" i="1"/>
  <c r="H10" i="1"/>
  <c r="G11" i="8" l="1"/>
  <c r="D17" i="16"/>
  <c r="E17" i="16"/>
  <c r="J30" i="7"/>
  <c r="J65" i="7" s="1"/>
  <c r="K5" i="9"/>
  <c r="K7" i="9" s="1"/>
  <c r="K9" i="9" s="1"/>
  <c r="H8" i="1"/>
  <c r="K13" i="9" l="1"/>
  <c r="K10" i="9"/>
  <c r="G13" i="8"/>
  <c r="H17" i="16"/>
  <c r="H5" i="16"/>
  <c r="F7" i="12" s="1"/>
  <c r="F19" i="12" s="1"/>
  <c r="F5" i="9"/>
  <c r="F7" i="9" s="1"/>
  <c r="F9" i="9" s="1"/>
  <c r="H5" i="1"/>
  <c r="K6" i="12"/>
  <c r="G61" i="7"/>
  <c r="E5" i="13"/>
  <c r="F5" i="13" s="1"/>
  <c r="E39" i="13"/>
  <c r="G34" i="7"/>
  <c r="H34" i="7" s="1"/>
  <c r="G24" i="7"/>
  <c r="D4" i="8"/>
  <c r="E4" i="8" s="1"/>
  <c r="E14" i="1"/>
  <c r="E11" i="1"/>
  <c r="E10" i="1" s="1"/>
  <c r="E20" i="1"/>
  <c r="D4" i="14"/>
  <c r="G56" i="7"/>
  <c r="G54" i="7" s="1"/>
  <c r="E8" i="15"/>
  <c r="F8" i="15" s="1"/>
  <c r="E9" i="15"/>
  <c r="C19" i="12"/>
  <c r="C12" i="17" l="1"/>
  <c r="K7" i="12"/>
  <c r="K8" i="12" s="1"/>
  <c r="K9" i="12" s="1"/>
  <c r="K10" i="12" s="1"/>
  <c r="K11" i="12" s="1"/>
  <c r="K12" i="12" s="1"/>
  <c r="K13" i="12" s="1"/>
  <c r="K14" i="12" s="1"/>
  <c r="K15" i="12" s="1"/>
  <c r="K16" i="12" s="1"/>
  <c r="K17" i="12" s="1"/>
  <c r="K18" i="12" s="1"/>
  <c r="K19" i="12" s="1"/>
  <c r="L6" i="12"/>
  <c r="H22" i="16"/>
  <c r="J17" i="16"/>
  <c r="G22" i="7"/>
  <c r="D7" i="8" s="1"/>
  <c r="E7" i="8" s="1"/>
  <c r="H24" i="7"/>
  <c r="H22" i="7" s="1"/>
  <c r="D10" i="8"/>
  <c r="E10" i="8" s="1"/>
  <c r="H61" i="7"/>
  <c r="D9" i="14"/>
  <c r="E9" i="14" s="1"/>
  <c r="E8" i="14" s="1"/>
  <c r="E16" i="14" s="1"/>
  <c r="F9" i="15"/>
  <c r="F10" i="15" s="1"/>
  <c r="F5" i="1"/>
  <c r="E10" i="13"/>
  <c r="G19" i="12"/>
  <c r="H12" i="7"/>
  <c r="H8" i="9"/>
  <c r="I8" i="9" s="1"/>
  <c r="G12" i="7"/>
  <c r="G8" i="7" s="1"/>
  <c r="H8" i="7" s="1"/>
  <c r="G39" i="7"/>
  <c r="H39" i="7" s="1"/>
  <c r="E10" i="15"/>
  <c r="E8" i="1"/>
  <c r="H6" i="9"/>
  <c r="I6" i="9" s="1"/>
  <c r="C5" i="9"/>
  <c r="D5" i="9" s="1"/>
  <c r="D8" i="14" l="1"/>
  <c r="D16" i="14" s="1"/>
  <c r="E47" i="13"/>
  <c r="F10" i="13"/>
  <c r="F47" i="13" s="1"/>
  <c r="H6" i="7"/>
  <c r="E5" i="1"/>
  <c r="C7" i="9"/>
  <c r="C9" i="9" s="1"/>
  <c r="D7" i="9"/>
  <c r="D9" i="9" s="1"/>
  <c r="D6" i="8"/>
  <c r="E6" i="8" s="1"/>
  <c r="G32" i="7"/>
  <c r="H32" i="7" s="1"/>
  <c r="G6" i="7"/>
  <c r="G30" i="7" l="1"/>
  <c r="G65" i="7" s="1"/>
  <c r="H5" i="9"/>
  <c r="D11" i="8"/>
  <c r="E11" i="8"/>
  <c r="H30" i="7" l="1"/>
  <c r="H65" i="7" s="1"/>
  <c r="H7" i="9"/>
  <c r="H9" i="9" s="1"/>
  <c r="I5" i="9"/>
  <c r="I7" i="9" s="1"/>
  <c r="I9" i="9" s="1"/>
  <c r="N7" i="12"/>
  <c r="N8" i="12" s="1"/>
  <c r="N9" i="12" s="1"/>
  <c r="N10" i="12" s="1"/>
  <c r="N11" i="12" s="1"/>
  <c r="N12" i="12" s="1"/>
  <c r="N13" i="12" s="1"/>
  <c r="N14" i="12" s="1"/>
  <c r="N15" i="12" s="1"/>
  <c r="N16" i="12" s="1"/>
  <c r="N17" i="12" s="1"/>
  <c r="N18" i="12" s="1"/>
  <c r="N19" i="12" l="1"/>
  <c r="N22" i="12" s="1"/>
  <c r="J19" i="12"/>
  <c r="J10" i="13"/>
  <c r="J47" i="13" s="1"/>
  <c r="J67" i="7" s="1"/>
  <c r="H5" i="15" l="1"/>
  <c r="G5" i="14" s="1"/>
  <c r="G4" i="14" s="1"/>
  <c r="G16" i="14" s="1"/>
  <c r="H10" i="15" l="1"/>
  <c r="H13" i="15" l="1"/>
</calcChain>
</file>

<file path=xl/sharedStrings.xml><?xml version="1.0" encoding="utf-8"?>
<sst xmlns="http://schemas.openxmlformats.org/spreadsheetml/2006/main" count="337" uniqueCount="218">
  <si>
    <t>Código</t>
  </si>
  <si>
    <t>Especificação</t>
  </si>
  <si>
    <t>1000.00.00</t>
  </si>
  <si>
    <t>Receitas Correntes</t>
  </si>
  <si>
    <t>1200.00.00</t>
  </si>
  <si>
    <t>Receitas de Contribuições</t>
  </si>
  <si>
    <t>1210.00.00</t>
  </si>
  <si>
    <t>Contribuições Sociais</t>
  </si>
  <si>
    <t>1210.99.00</t>
  </si>
  <si>
    <t>Outras Contribuições Sociais</t>
  </si>
  <si>
    <t>1300.00.00</t>
  </si>
  <si>
    <t>Receita Patrimonial</t>
  </si>
  <si>
    <t>1320.00.00</t>
  </si>
  <si>
    <t>Receita de Valores Mobiliários</t>
  </si>
  <si>
    <t>Remuneração de Depósitos Bancários – ABDI</t>
  </si>
  <si>
    <t>Remuneração de Depósitos Bancários – Convênios</t>
  </si>
  <si>
    <t>1700.00.00</t>
  </si>
  <si>
    <t>Transferências Correntes</t>
  </si>
  <si>
    <t>1720.00.00</t>
  </si>
  <si>
    <t>Transferências Intergovernamentais</t>
  </si>
  <si>
    <t>Transferências da União</t>
  </si>
  <si>
    <t>Transferências de Convênios</t>
  </si>
  <si>
    <t>Transferências de Convênios de Instituições Privadas</t>
  </si>
  <si>
    <t>Saldos de Exercícios Anteriores – Recursos Próprios</t>
  </si>
  <si>
    <t>Saldos de Exercícios Anteriores – Recursos de Convênios</t>
  </si>
  <si>
    <t>Pessoal</t>
  </si>
  <si>
    <t>Total</t>
  </si>
  <si>
    <t>Investimentos</t>
  </si>
  <si>
    <t>Reserva de Contingência</t>
  </si>
  <si>
    <t>Provisão da Taxa de Administração</t>
  </si>
  <si>
    <t>Função</t>
  </si>
  <si>
    <t>Subfunção</t>
  </si>
  <si>
    <t>Programa: (2810) – Programa de Gestão e Ações Administrativas (PAA)</t>
  </si>
  <si>
    <t>Programa: (2840) – Reservas de Contingência e Provisões</t>
  </si>
  <si>
    <t>TOTAL</t>
  </si>
  <si>
    <t>ID</t>
  </si>
  <si>
    <t>Grupo de Despesa</t>
  </si>
  <si>
    <t>Pessoal e Encargos Sociais</t>
  </si>
  <si>
    <t>Juros e Encargos da Dívida</t>
  </si>
  <si>
    <t>Outras Despesas Correntes</t>
  </si>
  <si>
    <t>Inversões Financeiras</t>
  </si>
  <si>
    <t>Amortização da Dívida</t>
  </si>
  <si>
    <t>Reservas e Provisões</t>
  </si>
  <si>
    <t>RECEITA</t>
  </si>
  <si>
    <t>DESPESA</t>
  </si>
  <si>
    <t>Especificações</t>
  </si>
  <si>
    <t>Despesas Correntes</t>
  </si>
  <si>
    <t>Receitas de Capital</t>
  </si>
  <si>
    <t>Despesas de Capital</t>
  </si>
  <si>
    <t>Receita Estimada</t>
  </si>
  <si>
    <t>Desembolso Estimado</t>
  </si>
  <si>
    <t xml:space="preserve">Saldo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</si>
  <si>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</si>
  <si>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</si>
  <si>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</si>
  <si>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</si>
  <si>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</si>
  <si>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</si>
  <si>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</si>
  <si>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</si>
  <si>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</si>
  <si>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</si>
  <si>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</si>
  <si>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</si>
  <si>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Ação</t>
  </si>
  <si>
    <t>Programa/Categoria Econômica/Grupo de Despesa/GND</t>
  </si>
  <si>
    <t>3.1.00.00.00</t>
  </si>
  <si>
    <t>3.0.00.00.00</t>
  </si>
  <si>
    <t>3.3.00.00.00</t>
  </si>
  <si>
    <t>Natureza/GND</t>
  </si>
  <si>
    <t>3.3.90.30.00</t>
  </si>
  <si>
    <t>3.3.90.35.00</t>
  </si>
  <si>
    <t>Serviços de Consultorias</t>
  </si>
  <si>
    <t>Material de Consumo</t>
  </si>
  <si>
    <t>3.3.90.14.00</t>
  </si>
  <si>
    <t>Diárias</t>
  </si>
  <si>
    <t>3.3.90.33.00</t>
  </si>
  <si>
    <t>Passagens e Despesas com Locomoção</t>
  </si>
  <si>
    <t>3.3.90.39.00</t>
  </si>
  <si>
    <t>3.3.90.40.00</t>
  </si>
  <si>
    <t>Serviços de Tecnologia da Informação e Comunicação - Pessoa Jurídica</t>
  </si>
  <si>
    <t>3.3.90.47.00</t>
  </si>
  <si>
    <t>Obrigações Tributárias e Contributivas</t>
  </si>
  <si>
    <t>3.3.90.99.00</t>
  </si>
  <si>
    <t>A Classificar</t>
  </si>
  <si>
    <t>Outros Serviços de Terceiros - Pessoa Jurídica</t>
  </si>
  <si>
    <t>4.0.00.00.00</t>
  </si>
  <si>
    <t>DESPESAS DE CAPITAL</t>
  </si>
  <si>
    <t>4.4.00.00.00</t>
  </si>
  <si>
    <t>INVESTIMENTOS</t>
  </si>
  <si>
    <t>4.4.90.51.00</t>
  </si>
  <si>
    <t>Obras e Instalações</t>
  </si>
  <si>
    <t>4.4.90.52.00</t>
  </si>
  <si>
    <t>Equipamentos e Material Permanente</t>
  </si>
  <si>
    <t>4.4.90.61.00</t>
  </si>
  <si>
    <t>Aquisição de Imóveis</t>
  </si>
  <si>
    <t>DESPESAS CORRENTES</t>
  </si>
  <si>
    <t>PESSOAL E ENCARGOS SOCIAIS</t>
  </si>
  <si>
    <t>OUTRAS DESPESAS CORRENTES</t>
  </si>
  <si>
    <t>9.9.99.99.99</t>
  </si>
  <si>
    <t>Eficiência na Gestão</t>
  </si>
  <si>
    <t>Fonte</t>
  </si>
  <si>
    <t>3.3.90.31.00</t>
  </si>
  <si>
    <t>Premiações Culturais, Artísticas, Científicas, Desportivas e Outras</t>
  </si>
  <si>
    <t>Saldo de Exercícios anteriores</t>
  </si>
  <si>
    <t>SUBTOTAL</t>
  </si>
  <si>
    <t>Reservas de Contingência e Provisões</t>
  </si>
  <si>
    <t>Apoio Finalístico</t>
  </si>
  <si>
    <t>CÓDIGO</t>
  </si>
  <si>
    <t>ENTREGA PRINCIPAL</t>
  </si>
  <si>
    <t>9990.99.01</t>
  </si>
  <si>
    <t>9990.99.02</t>
  </si>
  <si>
    <t>Saldos de Exercícios Anteriores - Recursos Próprios</t>
  </si>
  <si>
    <t>Despesa de Capital</t>
  </si>
  <si>
    <t>Saldos de Exercícios anteriores a executar no exercício</t>
  </si>
  <si>
    <t>Saldos de Exercícios anteriores a executar no exercício seguinte</t>
  </si>
  <si>
    <t>Saldos de Exercícios anteriores a executar no exercício - Recursos de Convênios</t>
  </si>
  <si>
    <t>Saldos de Exercícios anteriores a executar no exercício seguinte - Recursos de Convênios</t>
  </si>
  <si>
    <t>01.01</t>
  </si>
  <si>
    <t>01.02</t>
  </si>
  <si>
    <t>01.03</t>
  </si>
  <si>
    <t>02.01</t>
  </si>
  <si>
    <t>02.02</t>
  </si>
  <si>
    <t>02.03</t>
  </si>
  <si>
    <t>02.04</t>
  </si>
  <si>
    <t>02.08</t>
  </si>
  <si>
    <t>03.01</t>
  </si>
  <si>
    <t>03.02</t>
  </si>
  <si>
    <t>9990.00.00</t>
  </si>
  <si>
    <t>Recursos Arrecadados em Exercícios Anteriores</t>
  </si>
  <si>
    <t>1321.00.00</t>
  </si>
  <si>
    <t>1750.00.00</t>
  </si>
  <si>
    <t>1740.00.00</t>
  </si>
  <si>
    <t>1710.00.00</t>
  </si>
  <si>
    <t>2.0.0.0.00.0.0</t>
  </si>
  <si>
    <t>Recursos Próprios – Exercício Corrente</t>
  </si>
  <si>
    <t>Recursos Próprios – Exercícios Anteriores</t>
  </si>
  <si>
    <t>Recursos de Convênios – Exercício Corrente</t>
  </si>
  <si>
    <t>Recursos de Convênios – Exercícios Anteriores</t>
  </si>
  <si>
    <t>META(S) FÍSICA(S)</t>
  </si>
  <si>
    <t>Adoção e Difusão de Tecnologias</t>
  </si>
  <si>
    <t xml:space="preserve">Saldos de Exercícios Anteriores </t>
  </si>
  <si>
    <t>Receitas Orçamentárias</t>
  </si>
  <si>
    <t>Disponibilidade Financeira</t>
  </si>
  <si>
    <t xml:space="preserve">Aumentar a maturidade corporativa e de transformação digital da ABDI </t>
  </si>
  <si>
    <t xml:space="preserve">Empregados remunerados </t>
  </si>
  <si>
    <t xml:space="preserve">Aumentar a maturidade digital do setor produtivo brasileiro </t>
  </si>
  <si>
    <t xml:space="preserve">Aumentar o número de novas tecnologias, metodologias e processos digitais adotados pelo setor produtivo brasileiro </t>
  </si>
  <si>
    <t>Criar valor de referência</t>
  </si>
  <si>
    <t xml:space="preserve">Aumentar a maturidade digital do setor produtivo atendido pela ABDI </t>
  </si>
  <si>
    <t xml:space="preserve">Aumentar a parcela do setor produtivo que  utiliza serviços e produtos da ABDI </t>
  </si>
  <si>
    <t xml:space="preserve">Aumentar a maturidade digital das pequenas e médias empresas atendidas pela ABDI </t>
  </si>
  <si>
    <t xml:space="preserve">Aumentar a parcela do setor produtivo que consume produtos e serviços para a Jornada Digital </t>
  </si>
  <si>
    <t xml:space="preserve"> Aumentar a maturidade digital de empresas beneficiadas pelo Digital.BR em comparação com empresas não beneficiadas  </t>
  </si>
  <si>
    <t xml:space="preserve">Aumentar a adesão de instituições ao Digital.BR </t>
  </si>
  <si>
    <t xml:space="preserve">Aumentar a conversão de visitantes em cadastrados no Portal do Programa Brasil Mais </t>
  </si>
  <si>
    <t xml:space="preserve">Aumentar a conversão e registros de beneficiários ao HUBTEC </t>
  </si>
  <si>
    <t xml:space="preserve">Aumentar a conversão e registros de beneficiários ao Monitor das Profissões </t>
  </si>
  <si>
    <t>Capital Humano</t>
  </si>
  <si>
    <t>Aumentar o número de adesões de tecnologias pelos municípios atendidos pela ABDI</t>
  </si>
  <si>
    <t>Conect@</t>
  </si>
  <si>
    <t>Aumentar o número de tecnologias e processos da Indústria 4.0 adotadas pelas empresas atendidas pela ABDI</t>
  </si>
  <si>
    <t xml:space="preserve">Aumentar a prontidão 4.0 do setor produtivo atendido pela ABDI </t>
  </si>
  <si>
    <t>Provisão Contingência Jurídicas</t>
  </si>
  <si>
    <r>
      <t>03.0</t>
    </r>
    <r>
      <rPr>
        <sz val="10"/>
        <color rgb="FF000000"/>
        <rFont val="Calibri"/>
        <family val="2"/>
      </rPr>
      <t>3</t>
    </r>
  </si>
  <si>
    <t>Receitas Diversas</t>
  </si>
  <si>
    <t xml:space="preserve">   Outras Receitas</t>
  </si>
  <si>
    <t xml:space="preserve">       Outras Receitas</t>
  </si>
  <si>
    <t>Valor Executado</t>
  </si>
  <si>
    <t>SUPERÁVIT</t>
  </si>
  <si>
    <t>Receita Realizada</t>
  </si>
  <si>
    <t>Desembolso Realizado</t>
  </si>
  <si>
    <t>Saldo Estimado</t>
  </si>
  <si>
    <t>Saldo Realizado</t>
  </si>
  <si>
    <t>PORTARIA CONJUNTA Nº 2, DE 24 DE FEVEREIRO DE 2021 Art. 2º Inciso I, parte 2</t>
  </si>
  <si>
    <t>Receita de contribuições</t>
  </si>
  <si>
    <t>PORTARIA CONJUNTA Nº 2, DE 24 DE FEVEREIRO DE 2021 Art. 2º Inciso VII</t>
  </si>
  <si>
    <t>RESULTADOS FINANCEIROS</t>
  </si>
  <si>
    <t>DÉFICIT</t>
  </si>
  <si>
    <t>Saldo de anos anteriores</t>
  </si>
  <si>
    <t>PORTARIA CONJUNTA Nº 2, DE 24 DE FEVEREIRO DE 2021 Art. 2º Inciso II</t>
  </si>
  <si>
    <t>Resultados Financeiros</t>
  </si>
  <si>
    <t>PORTARIA CONJUNTA Nº 2, DE 24 DE FEVEREIRO DE 2021 Art. 2º Inciso I e III</t>
  </si>
  <si>
    <t>Quadro comparativo entre a despesa orçada e a despesa executada</t>
  </si>
  <si>
    <t>PORTARIA CONJUNTA Nº 2, DE 24 DE FEVEREIRO DE 2021 Art. 2º Inciso VI</t>
  </si>
  <si>
    <t>Valor Realizado</t>
  </si>
  <si>
    <t>ANULAÇÃO / SUPLEMENTAÇÃO</t>
  </si>
  <si>
    <t>4.4.90.40.00</t>
  </si>
  <si>
    <t>Direito de Uso de Software</t>
  </si>
  <si>
    <t xml:space="preserve">Valor Realizado </t>
  </si>
  <si>
    <t>Programa: (2830) – Programa de Promoção do Desenvolvimento Produtivo (PDP)</t>
  </si>
  <si>
    <t>Orçamento Publicado - PORTARIA SEPEC/ME Nº 14.831, DE 20 DE DEZEMBRO DE 2021</t>
  </si>
  <si>
    <t>RECEITA REALIZADA 2022</t>
  </si>
  <si>
    <t>SALDO REALIZADO 2021</t>
  </si>
  <si>
    <t>Transformação Digital do Setor Produtivo</t>
  </si>
  <si>
    <t>ASG</t>
  </si>
  <si>
    <t>Devolução recursos Focem</t>
  </si>
  <si>
    <t>Não foram considerados na apuração do resultado realizado os saldos de exercícios anteriores e nem execução de reservas.</t>
  </si>
  <si>
    <t>Saldos de Exercícios Anteriores – Recursos de Transferências da União</t>
  </si>
  <si>
    <t>Recursos de Transferências da União - Exercícios Anteriores</t>
  </si>
  <si>
    <t>Recursos de Transferências da União - Exercício Corrente</t>
  </si>
  <si>
    <t>9990.99.03</t>
  </si>
  <si>
    <t>Saldos de Exercícios anteriores a executar no exercício - Recursos de Transferências da União</t>
  </si>
  <si>
    <t>Saldos de Exercícios anteriores a executar no exercício seguinte - Recursos de Transferências da União</t>
  </si>
  <si>
    <t>Remuneração de Depósitos Bancários – Recursos de Transferências da União</t>
  </si>
  <si>
    <t>02.05</t>
  </si>
  <si>
    <t>02.06</t>
  </si>
  <si>
    <t>02.07</t>
  </si>
  <si>
    <t>02.09</t>
  </si>
  <si>
    <t xml:space="preserve">  Orçamento Publicado - PORTARIA SEPEC/ME Nº 8.327, DE 22 DE SETEMBRO DE 2022</t>
  </si>
  <si>
    <t xml:space="preserve">  Orçamento Alterado - Publicado pela PORTARIA SEPEC/ME Nº 8.327, DE 22 DE SETEMBRO DE 2022</t>
  </si>
  <si>
    <t xml:space="preserve">  Orçamento Alterado - publicado pela PORTARIA SEPEC/ME Nº 8.327, DE 22 DE SETEMBRO DE 2022</t>
  </si>
  <si>
    <t>DEMONSTRATIVO DA RECEITA - 2022</t>
  </si>
  <si>
    <t>Quadro de arrecadação mensal por origem - 2022</t>
  </si>
  <si>
    <t>DEMONSTRATIVO DA DESPESA - 2022</t>
  </si>
  <si>
    <t>BALANÇO ORÇAMENTÁRIO - 2022</t>
  </si>
  <si>
    <t>Orçamento Executado em 2022</t>
  </si>
  <si>
    <t>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</si>
</sst>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[$R$-416]\ * #,##0.00_-;\-[$R$-416]\ * #,##0.00_-;_-[$R$-416]\ * &quot;-&quot;??_-;_-@_-"/>
    <numFmt numFmtId="166" formatCode="_-[$R$-416]\ * #,##0_-;\-[$R$-416]\ * #,##0_-;_-[$R$-416]\ * &quot;-&quot;??_-;_-@_-"/>
    <numFmt numFmtId="167" formatCode="0_ ;\-0\ "/>
    <numFmt numFmtId="168" formatCode="#,##0_ ;\-#,##0\ "/>
    <numFmt numFmtId="169" formatCode="0.0%"/>
    <numFmt numFmtId="170" formatCode="_-[$R$-416]\ * #,##0.00000000_-;\-[$R$-416]\ * #,##0.00000000_-;_-[$R$-416]\ * &quot;-&quot;??_-;_-@_-"/>
    <numFmt numFmtId="171" formatCode="_-&quot;R$&quot;\ * #,##0_-;\-&quot;R$&quot;\ * #,##0_-;_-&quot;R$&quot;\ * &quot;-&quot;??_-;_-@_-"/>
    <numFmt numFmtId="172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2"/>
      <color theme="1"/>
      <name val="Times New Roman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3">
    <xf numFmtId="0" fontId="0" fillId="0" borderId="0"/>
    <xf numFmtId="44" fontId="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0" borderId="0"/>
    <xf numFmtId="4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8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165" fontId="0" fillId="0" borderId="0" xfId="0" applyNumberFormat="1"/>
    <xf numFmtId="0" fontId="1" fillId="0" borderId="5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3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/>
    <xf numFmtId="165" fontId="0" fillId="0" borderId="6" xfId="0" applyNumberFormat="1" applyBorder="1"/>
    <xf numFmtId="0" fontId="0" fillId="0" borderId="6" xfId="0" applyBorder="1" applyAlignment="1">
      <alignment horizontal="center"/>
    </xf>
    <xf numFmtId="0" fontId="4" fillId="0" borderId="6" xfId="0" applyFont="1" applyBorder="1"/>
    <xf numFmtId="0" fontId="7" fillId="0" borderId="6" xfId="0" applyFont="1" applyBorder="1"/>
    <xf numFmtId="0" fontId="1" fillId="0" borderId="6" xfId="0" applyFont="1" applyBorder="1"/>
    <xf numFmtId="0" fontId="8" fillId="0" borderId="6" xfId="0" applyFont="1" applyBorder="1"/>
    <xf numFmtId="0" fontId="0" fillId="0" borderId="0" xfId="0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2" fontId="9" fillId="0" borderId="6" xfId="0" applyNumberFormat="1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65" fontId="0" fillId="0" borderId="6" xfId="0" applyNumberFormat="1" applyBorder="1" applyAlignment="1">
      <alignment wrapText="1"/>
    </xf>
    <xf numFmtId="165" fontId="0" fillId="0" borderId="0" xfId="0" applyNumberFormat="1" applyAlignment="1">
      <alignment wrapText="1"/>
    </xf>
    <xf numFmtId="0" fontId="8" fillId="0" borderId="6" xfId="0" applyFont="1" applyBorder="1" applyAlignment="1">
      <alignment horizontal="left"/>
    </xf>
    <xf numFmtId="0" fontId="1" fillId="2" borderId="0" xfId="0" applyFont="1" applyFill="1"/>
    <xf numFmtId="0" fontId="0" fillId="2" borderId="0" xfId="0" applyFill="1"/>
    <xf numFmtId="0" fontId="1" fillId="0" borderId="2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3" fontId="0" fillId="0" borderId="0" xfId="6" applyFont="1"/>
    <xf numFmtId="167" fontId="0" fillId="0" borderId="6" xfId="0" applyNumberFormat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9" fontId="12" fillId="4" borderId="6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166" fontId="1" fillId="0" borderId="1" xfId="0" applyNumberFormat="1" applyFont="1" applyBorder="1" applyAlignment="1">
      <alignment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vertical="center" wrapText="1"/>
    </xf>
    <xf numFmtId="166" fontId="0" fillId="0" borderId="1" xfId="0" applyNumberFormat="1" applyBorder="1" applyAlignment="1">
      <alignment horizontal="center" vertical="center" wrapText="1"/>
    </xf>
    <xf numFmtId="166" fontId="8" fillId="0" borderId="1" xfId="0" applyNumberFormat="1" applyFont="1" applyBorder="1" applyAlignment="1">
      <alignment vertical="center" wrapText="1"/>
    </xf>
    <xf numFmtId="0" fontId="1" fillId="0" borderId="6" xfId="0" applyFont="1" applyBorder="1" applyAlignment="1">
      <alignment wrapText="1"/>
    </xf>
    <xf numFmtId="166" fontId="1" fillId="0" borderId="6" xfId="0" applyNumberFormat="1" applyFont="1" applyBorder="1" applyAlignment="1">
      <alignment vertical="center"/>
    </xf>
    <xf numFmtId="165" fontId="0" fillId="0" borderId="6" xfId="0" applyNumberFormat="1" applyBorder="1" applyAlignment="1">
      <alignment vertical="center" wrapText="1"/>
    </xf>
    <xf numFmtId="165" fontId="0" fillId="0" borderId="11" xfId="0" applyNumberFormat="1" applyBorder="1" applyAlignment="1">
      <alignment vertical="center" wrapText="1"/>
    </xf>
    <xf numFmtId="0" fontId="13" fillId="4" borderId="11" xfId="0" applyFont="1" applyFill="1" applyBorder="1" applyAlignment="1">
      <alignment vertical="center" wrapText="1"/>
    </xf>
    <xf numFmtId="166" fontId="12" fillId="4" borderId="6" xfId="0" applyNumberFormat="1" applyFont="1" applyFill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166" fontId="0" fillId="0" borderId="6" xfId="0" applyNumberFormat="1" applyBorder="1" applyAlignment="1">
      <alignment vertical="center" wrapText="1"/>
    </xf>
    <xf numFmtId="166" fontId="0" fillId="0" borderId="0" xfId="0" applyNumberFormat="1"/>
    <xf numFmtId="167" fontId="0" fillId="5" borderId="6" xfId="0" applyNumberFormat="1" applyFill="1" applyBorder="1" applyAlignment="1">
      <alignment horizontal="center" vertical="center" wrapText="1"/>
    </xf>
    <xf numFmtId="166" fontId="0" fillId="0" borderId="15" xfId="0" applyNumberForma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5" xfId="0" applyFont="1" applyBorder="1" applyAlignment="1">
      <alignment vertical="center" wrapText="1"/>
    </xf>
    <xf numFmtId="166" fontId="0" fillId="0" borderId="6" xfId="0" applyNumberFormat="1" applyBorder="1"/>
    <xf numFmtId="165" fontId="0" fillId="0" borderId="1" xfId="0" applyNumberFormat="1" applyBorder="1" applyAlignment="1">
      <alignment vertical="center" wrapText="1"/>
    </xf>
    <xf numFmtId="0" fontId="1" fillId="0" borderId="18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44" fontId="0" fillId="0" borderId="0" xfId="1" applyFont="1"/>
    <xf numFmtId="0" fontId="1" fillId="0" borderId="6" xfId="0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/>
    </xf>
    <xf numFmtId="164" fontId="0" fillId="0" borderId="0" xfId="0" applyNumberFormat="1"/>
    <xf numFmtId="166" fontId="12" fillId="4" borderId="11" xfId="0" applyNumberFormat="1" applyFont="1" applyFill="1" applyBorder="1" applyAlignment="1">
      <alignment vertical="center"/>
    </xf>
    <xf numFmtId="166" fontId="0" fillId="0" borderId="6" xfId="0" applyNumberFormat="1" applyBorder="1" applyAlignment="1">
      <alignment vertical="center"/>
    </xf>
    <xf numFmtId="166" fontId="0" fillId="0" borderId="7" xfId="0" applyNumberForma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9" fontId="12" fillId="0" borderId="6" xfId="0" applyNumberFormat="1" applyFont="1" applyBorder="1" applyAlignment="1">
      <alignment horizontal="center" vertical="center" wrapText="1"/>
    </xf>
    <xf numFmtId="9" fontId="0" fillId="0" borderId="6" xfId="5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169" fontId="0" fillId="0" borderId="0" xfId="5" applyNumberFormat="1" applyFont="1"/>
    <xf numFmtId="0" fontId="9" fillId="0" borderId="15" xfId="0" applyFont="1" applyBorder="1" applyAlignment="1">
      <alignment horizontal="center" vertical="center" wrapText="1"/>
    </xf>
    <xf numFmtId="166" fontId="1" fillId="0" borderId="6" xfId="0" applyNumberFormat="1" applyFont="1" applyBorder="1"/>
    <xf numFmtId="0" fontId="17" fillId="4" borderId="6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165" fontId="14" fillId="0" borderId="0" xfId="0" applyNumberFormat="1" applyFont="1"/>
    <xf numFmtId="0" fontId="14" fillId="0" borderId="0" xfId="0" applyFont="1"/>
    <xf numFmtId="0" fontId="9" fillId="0" borderId="1" xfId="0" applyFont="1" applyBorder="1" applyAlignment="1">
      <alignment vertical="center" wrapText="1"/>
    </xf>
    <xf numFmtId="166" fontId="1" fillId="0" borderId="5" xfId="0" applyNumberFormat="1" applyFont="1" applyBorder="1" applyAlignment="1">
      <alignment vertical="center" wrapText="1"/>
    </xf>
    <xf numFmtId="165" fontId="0" fillId="0" borderId="0" xfId="5" applyNumberFormat="1" applyFont="1"/>
    <xf numFmtId="166" fontId="0" fillId="0" borderId="6" xfId="0" applyNumberFormat="1" applyBorder="1" applyAlignment="1">
      <alignment horizontal="center" vertical="center"/>
    </xf>
    <xf numFmtId="9" fontId="12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9" fontId="12" fillId="0" borderId="7" xfId="0" applyNumberFormat="1" applyFont="1" applyBorder="1" applyAlignment="1">
      <alignment horizontal="center" vertical="center" wrapText="1"/>
    </xf>
    <xf numFmtId="170" fontId="0" fillId="0" borderId="0" xfId="0" applyNumberFormat="1"/>
    <xf numFmtId="0" fontId="13" fillId="4" borderId="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6" fontId="12" fillId="0" borderId="11" xfId="0" applyNumberFormat="1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172" fontId="0" fillId="0" borderId="6" xfId="6" applyNumberFormat="1" applyFont="1" applyFill="1" applyBorder="1"/>
    <xf numFmtId="166" fontId="8" fillId="0" borderId="7" xfId="0" applyNumberFormat="1" applyFont="1" applyBorder="1" applyAlignment="1">
      <alignment vertical="center"/>
    </xf>
    <xf numFmtId="0" fontId="0" fillId="6" borderId="0" xfId="0" applyFill="1" applyAlignment="1">
      <alignment horizontal="center"/>
    </xf>
    <xf numFmtId="10" fontId="0" fillId="0" borderId="0" xfId="5" applyNumberFormat="1" applyFont="1"/>
    <xf numFmtId="17" fontId="14" fillId="6" borderId="0" xfId="0" applyNumberFormat="1" applyFont="1" applyFill="1" applyAlignment="1">
      <alignment horizontal="center"/>
    </xf>
    <xf numFmtId="166" fontId="1" fillId="0" borderId="0" xfId="0" applyNumberFormat="1" applyFont="1" applyAlignment="1">
      <alignment vertical="center" wrapText="1"/>
    </xf>
    <xf numFmtId="166" fontId="0" fillId="0" borderId="0" xfId="0" applyNumberFormat="1" applyAlignment="1">
      <alignment vertical="center" wrapText="1"/>
    </xf>
    <xf numFmtId="166" fontId="8" fillId="0" borderId="0" xfId="0" applyNumberFormat="1" applyFont="1" applyAlignment="1">
      <alignment vertical="center" wrapText="1"/>
    </xf>
    <xf numFmtId="169" fontId="0" fillId="0" borderId="0" xfId="5" applyNumberFormat="1" applyFont="1" applyBorder="1" applyAlignment="1">
      <alignment vertical="center" wrapText="1"/>
    </xf>
    <xf numFmtId="169" fontId="1" fillId="0" borderId="0" xfId="5" applyNumberFormat="1" applyFont="1" applyBorder="1" applyAlignment="1">
      <alignment vertical="center" wrapText="1"/>
    </xf>
    <xf numFmtId="169" fontId="8" fillId="0" borderId="0" xfId="5" applyNumberFormat="1" applyFont="1" applyBorder="1" applyAlignment="1">
      <alignment vertical="center" wrapText="1"/>
    </xf>
    <xf numFmtId="9" fontId="0" fillId="0" borderId="0" xfId="5" applyFont="1"/>
    <xf numFmtId="172" fontId="1" fillId="0" borderId="0" xfId="6" applyNumberFormat="1" applyFont="1" applyBorder="1" applyAlignment="1">
      <alignment vertical="center" wrapText="1"/>
    </xf>
    <xf numFmtId="165" fontId="0" fillId="0" borderId="15" xfId="0" applyNumberFormat="1" applyBorder="1" applyAlignment="1">
      <alignment vertical="center" wrapText="1"/>
    </xf>
    <xf numFmtId="166" fontId="0" fillId="0" borderId="1" xfId="0" applyNumberFormat="1" applyBorder="1" applyAlignment="1">
      <alignment horizontal="left" vertical="center"/>
    </xf>
    <xf numFmtId="166" fontId="0" fillId="0" borderId="2" xfId="0" applyNumberFormat="1" applyBorder="1" applyAlignment="1">
      <alignment vertical="center" wrapText="1"/>
    </xf>
    <xf numFmtId="166" fontId="0" fillId="0" borderId="1" xfId="0" applyNumberFormat="1" applyBorder="1" applyAlignment="1">
      <alignment vertical="center"/>
    </xf>
    <xf numFmtId="10" fontId="1" fillId="0" borderId="0" xfId="5" applyNumberFormat="1" applyFont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16" fillId="6" borderId="10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14" fillId="7" borderId="1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" fontId="14" fillId="6" borderId="10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5" fillId="8" borderId="21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4" fillId="6" borderId="10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166" fontId="1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166" fontId="0" fillId="0" borderId="7" xfId="0" applyNumberFormat="1" applyBorder="1" applyAlignment="1">
      <alignment horizontal="center" vertical="center"/>
    </xf>
    <xf numFmtId="166" fontId="0" fillId="0" borderId="8" xfId="0" applyNumberFormat="1" applyBorder="1" applyAlignment="1">
      <alignment horizontal="center" vertical="center"/>
    </xf>
    <xf numFmtId="171" fontId="0" fillId="0" borderId="7" xfId="1" applyNumberFormat="1" applyFont="1" applyFill="1" applyBorder="1" applyAlignment="1">
      <alignment horizontal="center" vertical="center"/>
    </xf>
    <xf numFmtId="171" fontId="0" fillId="0" borderId="9" xfId="1" applyNumberFormat="1" applyFont="1" applyFill="1" applyBorder="1" applyAlignment="1">
      <alignment horizontal="center" vertical="center"/>
    </xf>
    <xf numFmtId="171" fontId="0" fillId="0" borderId="8" xfId="1" applyNumberFormat="1" applyFont="1" applyFill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17" fontId="15" fillId="8" borderId="10" xfId="0" applyNumberFormat="1" applyFont="1" applyFill="1" applyBorder="1" applyAlignment="1">
      <alignment horizontal="center"/>
    </xf>
    <xf numFmtId="166" fontId="8" fillId="0" borderId="7" xfId="0" applyNumberFormat="1" applyFont="1" applyBorder="1" applyAlignment="1">
      <alignment horizontal="center" vertical="center"/>
    </xf>
    <xf numFmtId="166" fontId="8" fillId="0" borderId="8" xfId="0" applyNumberFormat="1" applyFont="1" applyBorder="1" applyAlignment="1">
      <alignment horizontal="center" vertical="center"/>
    </xf>
    <xf numFmtId="0" fontId="17" fillId="4" borderId="7" xfId="0" applyFont="1" applyFill="1" applyBorder="1" applyAlignment="1">
      <alignment vertical="center" wrapText="1"/>
    </xf>
    <xf numFmtId="0" fontId="17" fillId="4" borderId="9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9" fontId="12" fillId="4" borderId="7" xfId="0" applyNumberFormat="1" applyFont="1" applyFill="1" applyBorder="1" applyAlignment="1">
      <alignment horizontal="center" vertical="center" wrapText="1"/>
    </xf>
    <xf numFmtId="9" fontId="12" fillId="4" borderId="9" xfId="0" applyNumberFormat="1" applyFont="1" applyFill="1" applyBorder="1" applyAlignment="1">
      <alignment horizontal="center" vertical="center" wrapText="1"/>
    </xf>
    <xf numFmtId="9" fontId="12" fillId="4" borderId="8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</cellXfs>
  <cellStyles count="33">
    <cellStyle name="Moeda" xfId="1" builtinId="4"/>
    <cellStyle name="Moeda 2" xfId="10" xr:uid="{00000000-0005-0000-0000-000001000000}"/>
    <cellStyle name="Moeda 2 2" xfId="19" xr:uid="{00000000-0005-0000-0000-000002000000}"/>
    <cellStyle name="Moeda 2 2 2" xfId="31" xr:uid="{9EB7C0EB-2832-4E24-8D39-1E9276DC3577}"/>
    <cellStyle name="Moeda 2 3" xfId="29" xr:uid="{3A75E960-5B16-4242-B3A0-C0BD9F64B8F9}"/>
    <cellStyle name="Moeda 3" xfId="11" xr:uid="{00000000-0005-0000-0000-000003000000}"/>
    <cellStyle name="Moeda 4" xfId="22" xr:uid="{00000000-0005-0000-0000-000004000000}"/>
    <cellStyle name="Moeda 5" xfId="25" xr:uid="{00000000-0005-0000-0000-000005000000}"/>
    <cellStyle name="Normal" xfId="0" builtinId="0"/>
    <cellStyle name="Normal 2" xfId="2" xr:uid="{00000000-0005-0000-0000-000007000000}"/>
    <cellStyle name="Normal 2 2" xfId="14" xr:uid="{00000000-0005-0000-0000-000008000000}"/>
    <cellStyle name="Normal 2 3" xfId="12" xr:uid="{00000000-0005-0000-0000-000009000000}"/>
    <cellStyle name="Normal 2 4" xfId="15" xr:uid="{00000000-0005-0000-0000-00000A000000}"/>
    <cellStyle name="Normal 3" xfId="21" xr:uid="{00000000-0005-0000-0000-00000B000000}"/>
    <cellStyle name="Porcentagem" xfId="5" builtinId="5"/>
    <cellStyle name="Porcentagem 2" xfId="13" xr:uid="{00000000-0005-0000-0000-00000D000000}"/>
    <cellStyle name="Porcentagem 2 2" xfId="17" xr:uid="{00000000-0005-0000-0000-00000E000000}"/>
    <cellStyle name="Vírgula" xfId="6" builtinId="3"/>
    <cellStyle name="Vírgula 2" xfId="3" xr:uid="{00000000-0005-0000-0000-000010000000}"/>
    <cellStyle name="Vírgula 2 2" xfId="4" xr:uid="{00000000-0005-0000-0000-000011000000}"/>
    <cellStyle name="Vírgula 2 2 2" xfId="18" xr:uid="{00000000-0005-0000-0000-000012000000}"/>
    <cellStyle name="Vírgula 2 2 2 2" xfId="24" xr:uid="{00000000-0005-0000-0000-000013000000}"/>
    <cellStyle name="Vírgula 2 2 3" xfId="16" xr:uid="{00000000-0005-0000-0000-000014000000}"/>
    <cellStyle name="Vírgula 2 2 4" xfId="23" xr:uid="{00000000-0005-0000-0000-000015000000}"/>
    <cellStyle name="Vírgula 2 2 5" xfId="30" xr:uid="{EC91D291-998A-4FB5-8C20-2909C6752445}"/>
    <cellStyle name="Vírgula 2 3" xfId="20" xr:uid="{00000000-0005-0000-0000-000016000000}"/>
    <cellStyle name="Vírgula 2 3 2" xfId="32" xr:uid="{7E85494A-E295-40C9-8AC2-CA946B944F71}"/>
    <cellStyle name="Vírgula 2 4" xfId="9" xr:uid="{00000000-0005-0000-0000-000017000000}"/>
    <cellStyle name="Vírgula 2 5" xfId="28" xr:uid="{D76253B4-3D86-4F95-9D91-B6C7068C3BE0}"/>
    <cellStyle name="Vírgula 3" xfId="8" xr:uid="{00000000-0005-0000-0000-000018000000}"/>
    <cellStyle name="Vírgula 4" xfId="7" xr:uid="{00000000-0005-0000-0000-000019000000}"/>
    <cellStyle name="Vírgula 5" xfId="26" xr:uid="{00000000-0005-0000-0000-00001A000000}"/>
    <cellStyle name="Vírgula 6" xfId="27" xr:uid="{1FFF6E22-964F-44E9-876E-89B3F32251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5.%20Orcamento\10.%20Or&#231;amento%202022\Planilha%20do%20Orc&#807;amento%202022%20oficial%20CH%2018-1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Área FIM Aprovado (2)"/>
      <sheetName val="Receita"/>
      <sheetName val="Pessoal Aprovado"/>
      <sheetName val="Orç Custeio-Invest-Reservas"/>
      <sheetName val="Fontes"/>
      <sheetName val="ORÇAMENTO"/>
      <sheetName val="Planilha9"/>
      <sheetName val="Planilha1"/>
      <sheetName val="Despesa Contb (2)"/>
      <sheetName val="Despesa Contb (3)"/>
      <sheetName val="Saldos Bancários"/>
      <sheetName val="DRE Receitas"/>
      <sheetName val="DRE Despesas"/>
      <sheetName val="Portal da Transparência"/>
      <sheetName val="Arrecadação"/>
      <sheetName val="Despesa Orç Din"/>
      <sheetName val="Despesa Cont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8">
          <cell r="H38">
            <v>605987.38</v>
          </cell>
        </row>
        <row r="62">
          <cell r="H62">
            <v>30303.450000000004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57"/>
  <sheetViews>
    <sheetView zoomScale="61" zoomScaleNormal="61" workbookViewId="0">
      <selection activeCell="N30" sqref="N30"/>
    </sheetView>
  </sheetViews>
  <sheetFormatPr defaultColWidth="8.88671875" defaultRowHeight="14.4" x14ac:dyDescent="0.3"/>
  <cols>
    <col min="2" max="2" width="18.6640625" customWidth="1"/>
    <col min="3" max="3" width="71.6640625" customWidth="1"/>
    <col min="4" max="4" width="14.6640625" customWidth="1"/>
    <col min="5" max="7" width="24.44140625" customWidth="1"/>
    <col min="8" max="8" width="23.44140625" bestFit="1" customWidth="1"/>
    <col min="10" max="10" width="14.33203125" bestFit="1" customWidth="1"/>
  </cols>
  <sheetData>
    <row r="2" spans="2:10" x14ac:dyDescent="0.3">
      <c r="B2" s="126" t="s">
        <v>174</v>
      </c>
      <c r="C2" s="126"/>
      <c r="D2" s="126"/>
      <c r="E2" s="126"/>
      <c r="F2" s="126"/>
      <c r="G2" s="126"/>
      <c r="H2" s="126"/>
    </row>
    <row r="3" spans="2:10" ht="18" x14ac:dyDescent="0.35">
      <c r="B3" s="127" t="s">
        <v>212</v>
      </c>
      <c r="C3" s="127"/>
      <c r="D3" s="127"/>
      <c r="E3" s="127"/>
      <c r="F3" s="127"/>
      <c r="G3" s="127"/>
      <c r="H3" s="127"/>
    </row>
    <row r="4" spans="2:10" ht="96.75" customHeight="1" x14ac:dyDescent="0.3">
      <c r="B4" s="2" t="s">
        <v>0</v>
      </c>
      <c r="C4" s="2" t="s">
        <v>1</v>
      </c>
      <c r="D4" s="58" t="s">
        <v>101</v>
      </c>
      <c r="E4" s="2" t="s">
        <v>191</v>
      </c>
      <c r="F4" s="2" t="s">
        <v>186</v>
      </c>
      <c r="G4" s="2" t="s">
        <v>211</v>
      </c>
      <c r="H4" s="2" t="s">
        <v>189</v>
      </c>
    </row>
    <row r="5" spans="2:10" ht="15.9" customHeight="1" x14ac:dyDescent="0.3">
      <c r="B5" s="121" t="s">
        <v>143</v>
      </c>
      <c r="C5" s="122"/>
      <c r="D5" s="43"/>
      <c r="E5" s="43">
        <f>E8+E34</f>
        <v>152376194.25999999</v>
      </c>
      <c r="F5" s="43">
        <f t="shared" ref="F5:G5" si="0">F8+F34</f>
        <v>12080326.199999994</v>
      </c>
      <c r="G5" s="43">
        <f t="shared" si="0"/>
        <v>164456520.46000001</v>
      </c>
      <c r="H5" s="43">
        <f>H8+H34</f>
        <v>180865222.72999999</v>
      </c>
      <c r="J5" s="55"/>
    </row>
    <row r="6" spans="2:10" ht="15.9" customHeight="1" x14ac:dyDescent="0.3">
      <c r="B6" s="35"/>
      <c r="C6" s="25"/>
      <c r="E6" s="36"/>
      <c r="F6" s="36"/>
      <c r="G6" s="36"/>
      <c r="H6" s="36"/>
    </row>
    <row r="7" spans="2:10" ht="15" customHeight="1" x14ac:dyDescent="0.3">
      <c r="B7" s="121" t="s">
        <v>142</v>
      </c>
      <c r="C7" s="123"/>
      <c r="D7" s="123"/>
      <c r="E7" s="123"/>
      <c r="F7" s="123"/>
      <c r="G7" s="123"/>
      <c r="H7" s="123"/>
    </row>
    <row r="8" spans="2:10" x14ac:dyDescent="0.3">
      <c r="B8" s="4" t="s">
        <v>2</v>
      </c>
      <c r="C8" s="4" t="s">
        <v>3</v>
      </c>
      <c r="D8" s="59"/>
      <c r="E8" s="42">
        <f>+E10+E14+E20+E26</f>
        <v>103817458.98</v>
      </c>
      <c r="F8" s="42">
        <f t="shared" ref="F8:G8" si="1">+F10+F14+F20+F26</f>
        <v>2324842</v>
      </c>
      <c r="G8" s="42">
        <f t="shared" si="1"/>
        <v>106142300.98000002</v>
      </c>
      <c r="H8" s="42">
        <f>+H10+H14+H20+H29+H26</f>
        <v>122551003.25</v>
      </c>
    </row>
    <row r="9" spans="2:10" x14ac:dyDescent="0.3">
      <c r="B9" s="3"/>
      <c r="C9" s="3"/>
      <c r="D9" s="60"/>
      <c r="E9" s="44"/>
      <c r="F9" s="44"/>
      <c r="G9" s="44"/>
      <c r="H9" s="44"/>
    </row>
    <row r="10" spans="2:10" x14ac:dyDescent="0.3">
      <c r="B10" s="4" t="s">
        <v>4</v>
      </c>
      <c r="C10" s="4" t="s">
        <v>5</v>
      </c>
      <c r="D10" s="59"/>
      <c r="E10" s="42">
        <f>+E11</f>
        <v>96000000</v>
      </c>
      <c r="F10" s="42">
        <f t="shared" ref="F10:G11" si="2">+F11</f>
        <v>0</v>
      </c>
      <c r="G10" s="42">
        <f t="shared" si="2"/>
        <v>96000000.000000015</v>
      </c>
      <c r="H10" s="42">
        <f>+H11</f>
        <v>105241928.18000001</v>
      </c>
    </row>
    <row r="11" spans="2:10" x14ac:dyDescent="0.3">
      <c r="B11" s="3" t="s">
        <v>6</v>
      </c>
      <c r="C11" s="3" t="s">
        <v>7</v>
      </c>
      <c r="D11" s="60"/>
      <c r="E11" s="44">
        <f>+E12</f>
        <v>96000000</v>
      </c>
      <c r="F11" s="44">
        <f t="shared" si="2"/>
        <v>0</v>
      </c>
      <c r="G11" s="44">
        <f t="shared" si="2"/>
        <v>96000000.000000015</v>
      </c>
      <c r="H11" s="44">
        <f>+H12</f>
        <v>105241928.18000001</v>
      </c>
    </row>
    <row r="12" spans="2:10" x14ac:dyDescent="0.3">
      <c r="B12" s="3" t="s">
        <v>8</v>
      </c>
      <c r="C12" s="3" t="s">
        <v>9</v>
      </c>
      <c r="D12" s="60">
        <v>100</v>
      </c>
      <c r="E12" s="44">
        <v>96000000</v>
      </c>
      <c r="F12" s="44">
        <f>+G12-E12</f>
        <v>0</v>
      </c>
      <c r="G12" s="44">
        <v>96000000.000000015</v>
      </c>
      <c r="H12" s="44">
        <v>105241928.18000001</v>
      </c>
    </row>
    <row r="13" spans="2:10" x14ac:dyDescent="0.3">
      <c r="B13" s="3"/>
      <c r="C13" s="3"/>
      <c r="D13" s="60"/>
      <c r="E13" s="44"/>
      <c r="F13" s="44"/>
      <c r="G13" s="44"/>
      <c r="H13" s="44"/>
    </row>
    <row r="14" spans="2:10" x14ac:dyDescent="0.3">
      <c r="B14" s="4" t="s">
        <v>10</v>
      </c>
      <c r="C14" s="4" t="s">
        <v>11</v>
      </c>
      <c r="D14" s="59"/>
      <c r="E14" s="42">
        <f>+E15+E16+E18</f>
        <v>2417458.98</v>
      </c>
      <c r="F14" s="42">
        <f t="shared" ref="F14:G14" si="3">+F15+F16+F18</f>
        <v>0</v>
      </c>
      <c r="G14" s="42">
        <f t="shared" si="3"/>
        <v>2417458.98</v>
      </c>
      <c r="H14" s="42">
        <f>+H15+H16+H18+H17</f>
        <v>7546235.799999998</v>
      </c>
    </row>
    <row r="15" spans="2:10" x14ac:dyDescent="0.3">
      <c r="B15" s="3" t="s">
        <v>12</v>
      </c>
      <c r="C15" s="3" t="s">
        <v>13</v>
      </c>
      <c r="D15" s="60"/>
      <c r="E15" s="44"/>
      <c r="F15" s="44"/>
      <c r="G15" s="44"/>
      <c r="H15" s="44"/>
    </row>
    <row r="16" spans="2:10" x14ac:dyDescent="0.3">
      <c r="B16" s="3" t="s">
        <v>130</v>
      </c>
      <c r="C16" s="3" t="s">
        <v>14</v>
      </c>
      <c r="D16" s="60">
        <v>100</v>
      </c>
      <c r="E16" s="44">
        <v>2304000</v>
      </c>
      <c r="F16" s="44">
        <f>+G16-E16</f>
        <v>0</v>
      </c>
      <c r="G16" s="44">
        <v>2304000</v>
      </c>
      <c r="H16" s="44">
        <v>6525710.4799999986</v>
      </c>
    </row>
    <row r="17" spans="2:10" x14ac:dyDescent="0.3">
      <c r="B17" s="3"/>
      <c r="C17" s="3" t="s">
        <v>204</v>
      </c>
      <c r="D17" s="60">
        <v>120</v>
      </c>
      <c r="E17" s="44"/>
      <c r="F17" s="44"/>
      <c r="G17" s="44"/>
      <c r="H17" s="44">
        <v>513733.13999999996</v>
      </c>
    </row>
    <row r="18" spans="2:10" x14ac:dyDescent="0.3">
      <c r="B18" s="3" t="s">
        <v>130</v>
      </c>
      <c r="C18" s="3" t="s">
        <v>15</v>
      </c>
      <c r="D18" s="60">
        <v>150</v>
      </c>
      <c r="E18" s="44">
        <v>113458.98</v>
      </c>
      <c r="F18" s="44">
        <f>+G18-E18</f>
        <v>0</v>
      </c>
      <c r="G18" s="44">
        <v>113458.97999999998</v>
      </c>
      <c r="H18" s="44">
        <v>506792.18</v>
      </c>
    </row>
    <row r="19" spans="2:10" x14ac:dyDescent="0.3">
      <c r="B19" s="3"/>
      <c r="C19" s="3"/>
      <c r="D19" s="60"/>
      <c r="E19" s="44"/>
      <c r="F19" s="44"/>
      <c r="G19" s="44"/>
      <c r="H19" s="44"/>
    </row>
    <row r="20" spans="2:10" x14ac:dyDescent="0.3">
      <c r="B20" s="4" t="s">
        <v>16</v>
      </c>
      <c r="C20" s="4" t="s">
        <v>17</v>
      </c>
      <c r="D20" s="59"/>
      <c r="E20" s="42">
        <f>+E21+E22+E23+E24</f>
        <v>5400000</v>
      </c>
      <c r="F20" s="42">
        <f t="shared" ref="F20:G20" si="4">+F21+F22+F23+F24</f>
        <v>2324842</v>
      </c>
      <c r="G20" s="42">
        <f t="shared" si="4"/>
        <v>7724842</v>
      </c>
      <c r="H20" s="42">
        <f>+H21+H22+H23+H24</f>
        <v>9202902.8499999996</v>
      </c>
    </row>
    <row r="21" spans="2:10" x14ac:dyDescent="0.3">
      <c r="B21" s="3" t="s">
        <v>18</v>
      </c>
      <c r="C21" s="3" t="s">
        <v>19</v>
      </c>
      <c r="D21" s="60"/>
      <c r="E21" s="44"/>
      <c r="F21" s="44"/>
      <c r="G21" s="44"/>
      <c r="H21" s="44"/>
    </row>
    <row r="22" spans="2:10" x14ac:dyDescent="0.3">
      <c r="B22" s="3" t="s">
        <v>133</v>
      </c>
      <c r="C22" s="3" t="s">
        <v>20</v>
      </c>
      <c r="D22" s="60">
        <v>120</v>
      </c>
      <c r="E22" s="44"/>
      <c r="F22" s="44">
        <f>+G22-E22</f>
        <v>2324842</v>
      </c>
      <c r="G22" s="44">
        <v>2324842</v>
      </c>
      <c r="H22" s="44">
        <v>3100000</v>
      </c>
    </row>
    <row r="23" spans="2:10" x14ac:dyDescent="0.3">
      <c r="B23" s="3" t="s">
        <v>131</v>
      </c>
      <c r="C23" s="3" t="s">
        <v>21</v>
      </c>
      <c r="D23" s="60">
        <v>150</v>
      </c>
      <c r="E23" s="44">
        <v>5400000</v>
      </c>
      <c r="F23" s="44">
        <f>+G23-E23</f>
        <v>0</v>
      </c>
      <c r="G23" s="44">
        <v>5400000</v>
      </c>
      <c r="H23" s="44">
        <v>6102902.8499999996</v>
      </c>
    </row>
    <row r="24" spans="2:10" x14ac:dyDescent="0.3">
      <c r="B24" s="3" t="s">
        <v>132</v>
      </c>
      <c r="C24" s="3" t="s">
        <v>22</v>
      </c>
      <c r="D24" s="60"/>
      <c r="E24" s="44"/>
      <c r="F24" s="44"/>
      <c r="G24" s="44"/>
      <c r="H24" s="44"/>
    </row>
    <row r="25" spans="2:10" x14ac:dyDescent="0.3">
      <c r="B25" s="3"/>
      <c r="C25" s="3"/>
      <c r="D25" s="60"/>
      <c r="E25" s="44"/>
      <c r="F25" s="44"/>
      <c r="G25" s="44"/>
      <c r="H25" s="44"/>
    </row>
    <row r="26" spans="2:10" x14ac:dyDescent="0.3">
      <c r="B26" s="4" t="s">
        <v>134</v>
      </c>
      <c r="C26" s="4" t="s">
        <v>47</v>
      </c>
      <c r="D26" s="59"/>
      <c r="E26" s="42">
        <v>0</v>
      </c>
      <c r="F26" s="42">
        <f>+G26-E26</f>
        <v>0</v>
      </c>
      <c r="G26" s="42">
        <v>0</v>
      </c>
      <c r="H26" s="42">
        <v>0</v>
      </c>
    </row>
    <row r="27" spans="2:10" x14ac:dyDescent="0.3">
      <c r="B27" s="3"/>
      <c r="C27" s="3"/>
      <c r="D27" s="60"/>
      <c r="E27" s="44"/>
      <c r="F27" s="44"/>
      <c r="G27" s="44"/>
      <c r="H27" s="44"/>
    </row>
    <row r="28" spans="2:10" x14ac:dyDescent="0.3">
      <c r="B28" s="3"/>
      <c r="C28" s="3"/>
      <c r="D28" s="60"/>
      <c r="E28" s="44"/>
      <c r="F28" s="44"/>
      <c r="G28" s="44"/>
      <c r="H28" s="44"/>
    </row>
    <row r="29" spans="2:10" x14ac:dyDescent="0.3">
      <c r="B29" s="3"/>
      <c r="C29" s="4" t="s">
        <v>165</v>
      </c>
      <c r="D29" s="60"/>
      <c r="E29" s="44"/>
      <c r="F29" s="44"/>
      <c r="G29" s="44"/>
      <c r="H29" s="42">
        <f>+H30</f>
        <v>559936.42000000004</v>
      </c>
    </row>
    <row r="30" spans="2:10" x14ac:dyDescent="0.3">
      <c r="B30" s="3"/>
      <c r="C30" s="3" t="s">
        <v>166</v>
      </c>
      <c r="D30" s="60"/>
      <c r="E30" s="44"/>
      <c r="F30" s="44"/>
      <c r="G30" s="44"/>
      <c r="H30" s="44">
        <f>+H31</f>
        <v>559936.42000000004</v>
      </c>
    </row>
    <row r="31" spans="2:10" x14ac:dyDescent="0.3">
      <c r="B31" s="3"/>
      <c r="C31" s="3" t="s">
        <v>167</v>
      </c>
      <c r="D31" s="60">
        <v>100</v>
      </c>
      <c r="E31" s="44"/>
      <c r="F31" s="44"/>
      <c r="G31" s="44"/>
      <c r="H31" s="44">
        <v>559936.42000000004</v>
      </c>
      <c r="J31" s="12"/>
    </row>
    <row r="32" spans="2:10" x14ac:dyDescent="0.3">
      <c r="B32" s="3"/>
      <c r="C32" s="3"/>
      <c r="D32" s="60"/>
      <c r="E32" s="44"/>
      <c r="F32" s="44"/>
      <c r="G32" s="44"/>
      <c r="H32" s="44"/>
    </row>
    <row r="33" spans="2:8" ht="15" customHeight="1" x14ac:dyDescent="0.3">
      <c r="B33" s="124" t="s">
        <v>141</v>
      </c>
      <c r="C33" s="125"/>
      <c r="D33" s="125"/>
      <c r="E33" s="125"/>
      <c r="F33" s="125"/>
      <c r="G33" s="125"/>
      <c r="H33" s="125"/>
    </row>
    <row r="34" spans="2:8" x14ac:dyDescent="0.3">
      <c r="B34" s="4" t="s">
        <v>128</v>
      </c>
      <c r="C34" s="4" t="s">
        <v>129</v>
      </c>
      <c r="D34" s="42"/>
      <c r="E34" s="42">
        <f t="shared" ref="E34:G34" si="5">+E36+E38+E40</f>
        <v>48558735.280000001</v>
      </c>
      <c r="F34" s="42">
        <f t="shared" si="5"/>
        <v>9755484.1999999937</v>
      </c>
      <c r="G34" s="42">
        <f t="shared" si="5"/>
        <v>58314219.479999997</v>
      </c>
      <c r="H34" s="42">
        <f>+H36+H38+H40</f>
        <v>58314219.479999997</v>
      </c>
    </row>
    <row r="35" spans="2:8" x14ac:dyDescent="0.3">
      <c r="B35" s="3"/>
      <c r="C35" s="3"/>
      <c r="D35" s="44"/>
      <c r="E35" s="44"/>
      <c r="F35" s="44"/>
      <c r="G35" s="44"/>
      <c r="H35" s="44"/>
    </row>
    <row r="36" spans="2:8" ht="15" customHeight="1" x14ac:dyDescent="0.3">
      <c r="B36" s="3" t="s">
        <v>110</v>
      </c>
      <c r="C36" s="3" t="s">
        <v>23</v>
      </c>
      <c r="D36" s="60">
        <v>300</v>
      </c>
      <c r="E36" s="44">
        <v>42885786.200000003</v>
      </c>
      <c r="F36" s="44">
        <f>+G36-E36</f>
        <v>4974781.7099999934</v>
      </c>
      <c r="G36" s="44">
        <v>47860567.909999996</v>
      </c>
      <c r="H36" s="44">
        <f>52285567.91-4425000</f>
        <v>47860567.909999996</v>
      </c>
    </row>
    <row r="37" spans="2:8" x14ac:dyDescent="0.3">
      <c r="B37" s="3"/>
      <c r="C37" s="3"/>
      <c r="D37" s="60"/>
      <c r="E37" s="44"/>
      <c r="F37" s="44"/>
      <c r="G37" s="44"/>
      <c r="H37" s="44"/>
    </row>
    <row r="38" spans="2:8" x14ac:dyDescent="0.3">
      <c r="B38" s="3" t="s">
        <v>111</v>
      </c>
      <c r="C38" s="3" t="s">
        <v>24</v>
      </c>
      <c r="D38" s="60">
        <v>350</v>
      </c>
      <c r="E38" s="44">
        <v>5672949.0799999991</v>
      </c>
      <c r="F38" s="44">
        <f>+G38-E38</f>
        <v>355702.49000000022</v>
      </c>
      <c r="G38" s="44">
        <v>6028651.5699999994</v>
      </c>
      <c r="H38" s="44">
        <v>6028651.5699999994</v>
      </c>
    </row>
    <row r="39" spans="2:8" x14ac:dyDescent="0.3">
      <c r="B39" s="3"/>
      <c r="C39" s="3"/>
      <c r="D39" s="44"/>
      <c r="E39" s="44"/>
      <c r="F39" s="44"/>
      <c r="G39" s="44"/>
      <c r="H39" s="44"/>
    </row>
    <row r="40" spans="2:8" x14ac:dyDescent="0.3">
      <c r="B40" s="3" t="s">
        <v>201</v>
      </c>
      <c r="C40" s="3" t="s">
        <v>198</v>
      </c>
      <c r="D40" s="60">
        <v>320</v>
      </c>
      <c r="E40" s="44"/>
      <c r="F40" s="44">
        <f>+G40-E40</f>
        <v>4425000</v>
      </c>
      <c r="G40" s="44">
        <v>4425000</v>
      </c>
      <c r="H40" s="44">
        <v>4425000</v>
      </c>
    </row>
    <row r="41" spans="2:8" x14ac:dyDescent="0.3">
      <c r="B41" s="3"/>
      <c r="C41" s="3"/>
      <c r="D41" s="44"/>
      <c r="E41" s="44"/>
      <c r="F41" s="44"/>
      <c r="G41" s="44"/>
      <c r="H41" s="44"/>
    </row>
    <row r="44" spans="2:8" ht="18" x14ac:dyDescent="0.35">
      <c r="H44" s="87"/>
    </row>
    <row r="45" spans="2:8" ht="18" x14ac:dyDescent="0.35">
      <c r="E45" s="88"/>
      <c r="H45" s="87"/>
    </row>
    <row r="46" spans="2:8" ht="18" x14ac:dyDescent="0.35">
      <c r="E46" s="88"/>
      <c r="H46" s="87"/>
    </row>
    <row r="47" spans="2:8" ht="18" x14ac:dyDescent="0.35">
      <c r="H47" s="87"/>
    </row>
    <row r="49" spans="6:8" ht="18" x14ac:dyDescent="0.35">
      <c r="H49" s="87"/>
    </row>
    <row r="51" spans="6:8" ht="18" x14ac:dyDescent="0.35">
      <c r="F51" s="87"/>
      <c r="G51" s="87"/>
      <c r="H51" s="87"/>
    </row>
    <row r="52" spans="6:8" ht="18" x14ac:dyDescent="0.35">
      <c r="H52" s="87"/>
    </row>
    <row r="53" spans="6:8" ht="18" x14ac:dyDescent="0.35">
      <c r="G53" s="8"/>
      <c r="H53" s="87"/>
    </row>
    <row r="54" spans="6:8" ht="18" x14ac:dyDescent="0.35">
      <c r="H54" s="87"/>
    </row>
    <row r="57" spans="6:8" ht="18" x14ac:dyDescent="0.35">
      <c r="H57" s="87"/>
    </row>
  </sheetData>
  <mergeCells count="5">
    <mergeCell ref="B5:C5"/>
    <mergeCell ref="B7:H7"/>
    <mergeCell ref="B33:H33"/>
    <mergeCell ref="B2:H2"/>
    <mergeCell ref="B3:H3"/>
  </mergeCells>
  <printOptions horizontalCentered="1" verticalCentered="1"/>
  <pageMargins left="0" right="0.11811023622047245" top="0" bottom="0" header="0" footer="0"/>
  <pageSetup paperSize="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P53"/>
  <sheetViews>
    <sheetView tabSelected="1" zoomScaleNormal="100" workbookViewId="0">
      <selection activeCell="K3" sqref="K3"/>
    </sheetView>
  </sheetViews>
  <sheetFormatPr defaultColWidth="8.88671875" defaultRowHeight="14.4" x14ac:dyDescent="0.3"/>
  <cols>
    <col min="1" max="1" width="4.109375" customWidth="1"/>
    <col min="2" max="2" width="9.109375" style="11"/>
    <col min="3" max="3" width="49.88671875" customWidth="1"/>
    <col min="5" max="5" width="38.6640625" style="8" customWidth="1"/>
    <col min="6" max="6" width="19.33203125" style="8" customWidth="1"/>
    <col min="7" max="7" width="29.5546875" style="8" customWidth="1"/>
    <col min="8" max="8" width="42" style="31" hidden="1" customWidth="1"/>
    <col min="9" max="9" width="2" style="29" hidden="1" customWidth="1"/>
    <col min="10" max="10" width="25.33203125" customWidth="1"/>
    <col min="11" max="11" width="20.88671875" style="91" bestFit="1" customWidth="1"/>
    <col min="12" max="12" width="17.6640625" style="67" bestFit="1" customWidth="1"/>
    <col min="13" max="13" width="17.6640625" bestFit="1" customWidth="1"/>
    <col min="16" max="16" width="13.33203125" bestFit="1" customWidth="1"/>
  </cols>
  <sheetData>
    <row r="2" spans="1:16" ht="21" x14ac:dyDescent="0.4">
      <c r="B2" s="165" t="s">
        <v>216</v>
      </c>
      <c r="C2" s="165"/>
      <c r="D2" s="165"/>
      <c r="E2" s="165"/>
      <c r="F2" s="165"/>
      <c r="G2" s="165"/>
      <c r="H2" s="165"/>
      <c r="I2" s="165"/>
      <c r="J2" s="165"/>
    </row>
    <row r="3" spans="1:16" ht="114" customHeight="1" x14ac:dyDescent="0.3">
      <c r="B3" s="41" t="s">
        <v>108</v>
      </c>
      <c r="C3" s="68" t="s">
        <v>64</v>
      </c>
      <c r="D3" s="68" t="s">
        <v>101</v>
      </c>
      <c r="E3" s="69" t="s">
        <v>191</v>
      </c>
      <c r="F3" s="69" t="s">
        <v>186</v>
      </c>
      <c r="G3" s="69" t="s">
        <v>211</v>
      </c>
      <c r="H3" s="70" t="s">
        <v>109</v>
      </c>
      <c r="I3" s="27" t="s">
        <v>139</v>
      </c>
      <c r="J3" s="71" t="s">
        <v>168</v>
      </c>
    </row>
    <row r="4" spans="1:16" hidden="1" x14ac:dyDescent="0.3">
      <c r="B4" s="16"/>
      <c r="C4" s="17"/>
      <c r="D4" s="17"/>
      <c r="E4" s="18"/>
      <c r="F4" s="18"/>
      <c r="G4" s="18"/>
      <c r="H4" s="30"/>
      <c r="I4" s="28"/>
      <c r="J4" s="18"/>
    </row>
    <row r="5" spans="1:16" ht="28.8" x14ac:dyDescent="0.3">
      <c r="B5" s="41">
        <v>1</v>
      </c>
      <c r="C5" s="47" t="s">
        <v>32</v>
      </c>
      <c r="D5" s="19"/>
      <c r="E5" s="48">
        <f>+E6+E7+E8</f>
        <v>26258533.27</v>
      </c>
      <c r="F5" s="48">
        <f>+G5-E5</f>
        <v>1124645.7300000004</v>
      </c>
      <c r="G5" s="48">
        <f>+G6+G7+G8+G9</f>
        <v>27383179</v>
      </c>
      <c r="H5" s="30"/>
      <c r="I5" s="49"/>
      <c r="J5" s="48">
        <f>+J6+J7+J8+J9</f>
        <v>23844238.879999999</v>
      </c>
    </row>
    <row r="6" spans="1:16" ht="30" customHeight="1" x14ac:dyDescent="0.3">
      <c r="B6" s="16" t="s">
        <v>118</v>
      </c>
      <c r="C6" s="86" t="s">
        <v>100</v>
      </c>
      <c r="D6" s="66">
        <v>100</v>
      </c>
      <c r="E6" s="52">
        <v>5530878.9699999997</v>
      </c>
      <c r="F6" s="73">
        <f>+G6-E6</f>
        <v>377864.03000000026</v>
      </c>
      <c r="G6" s="73">
        <v>5908743</v>
      </c>
      <c r="H6" s="50" t="s">
        <v>144</v>
      </c>
      <c r="I6" s="38">
        <v>45</v>
      </c>
      <c r="J6" s="52">
        <f>+Despesa!J12</f>
        <v>5685259.7299999995</v>
      </c>
      <c r="K6" s="82"/>
    </row>
    <row r="7" spans="1:16" x14ac:dyDescent="0.3">
      <c r="B7" s="16" t="s">
        <v>119</v>
      </c>
      <c r="C7" s="23" t="s">
        <v>25</v>
      </c>
      <c r="D7" s="19">
        <v>100</v>
      </c>
      <c r="E7" s="52">
        <v>19617654.300000001</v>
      </c>
      <c r="F7" s="73">
        <f t="shared" ref="F7:F9" si="0">+G7-E7</f>
        <v>-0.30000000074505806</v>
      </c>
      <c r="G7" s="73">
        <v>19617654</v>
      </c>
      <c r="H7" s="50" t="s">
        <v>145</v>
      </c>
      <c r="I7" s="56">
        <v>52</v>
      </c>
      <c r="J7" s="52">
        <f>+Despesa!J10</f>
        <v>16734886.33</v>
      </c>
      <c r="K7" s="82"/>
    </row>
    <row r="8" spans="1:16" x14ac:dyDescent="0.3">
      <c r="B8" s="16" t="s">
        <v>120</v>
      </c>
      <c r="C8" s="23" t="s">
        <v>113</v>
      </c>
      <c r="D8" s="19">
        <v>100</v>
      </c>
      <c r="E8" s="52">
        <v>1110000</v>
      </c>
      <c r="F8" s="73">
        <f t="shared" si="0"/>
        <v>257482</v>
      </c>
      <c r="G8" s="100">
        <v>1367482</v>
      </c>
      <c r="H8" s="50"/>
      <c r="I8" s="49"/>
      <c r="J8" s="52">
        <f>+Despesa!J27</f>
        <v>962742.82000000007</v>
      </c>
      <c r="L8" s="91"/>
      <c r="M8" s="82"/>
      <c r="P8" s="12"/>
    </row>
    <row r="9" spans="1:16" x14ac:dyDescent="0.3">
      <c r="B9" s="16" t="s">
        <v>120</v>
      </c>
      <c r="C9" s="23" t="s">
        <v>113</v>
      </c>
      <c r="D9" s="19">
        <v>300</v>
      </c>
      <c r="E9" s="52"/>
      <c r="F9" s="73">
        <f t="shared" si="0"/>
        <v>489300</v>
      </c>
      <c r="G9" s="100">
        <v>489300</v>
      </c>
      <c r="H9" s="50"/>
      <c r="I9" s="49"/>
      <c r="J9" s="52">
        <f>+Despesa!J25+Despesa!J26</f>
        <v>461350</v>
      </c>
      <c r="P9" s="8"/>
    </row>
    <row r="10" spans="1:16" ht="15" customHeight="1" x14ac:dyDescent="0.3">
      <c r="B10" s="184">
        <v>2</v>
      </c>
      <c r="C10" s="181" t="s">
        <v>190</v>
      </c>
      <c r="D10" s="187"/>
      <c r="E10" s="153">
        <f>SUM(E16:E37)</f>
        <v>96210660.99000001</v>
      </c>
      <c r="F10" s="153">
        <f>+G10-E10</f>
        <v>10955680.699999988</v>
      </c>
      <c r="G10" s="153">
        <f>SUM(G16:G37)</f>
        <v>107166341.69</v>
      </c>
      <c r="H10" s="51" t="s">
        <v>146</v>
      </c>
      <c r="I10" s="40">
        <v>0.05</v>
      </c>
      <c r="J10" s="153">
        <f>SUM(J16:J37)</f>
        <v>94489476.799999997</v>
      </c>
    </row>
    <row r="11" spans="1:16" ht="15" customHeight="1" x14ac:dyDescent="0.3">
      <c r="B11" s="185"/>
      <c r="C11" s="182"/>
      <c r="D11" s="187"/>
      <c r="E11" s="153"/>
      <c r="F11" s="153"/>
      <c r="G11" s="153"/>
      <c r="H11" s="51" t="s">
        <v>147</v>
      </c>
      <c r="I11" s="39" t="s">
        <v>148</v>
      </c>
      <c r="J11" s="153"/>
    </row>
    <row r="12" spans="1:16" ht="15" customHeight="1" x14ac:dyDescent="0.3">
      <c r="B12" s="185"/>
      <c r="C12" s="182"/>
      <c r="D12" s="187"/>
      <c r="E12" s="153"/>
      <c r="F12" s="153"/>
      <c r="G12" s="153"/>
      <c r="H12" s="51" t="s">
        <v>149</v>
      </c>
      <c r="I12" s="40">
        <v>0.05</v>
      </c>
      <c r="J12" s="153"/>
    </row>
    <row r="13" spans="1:16" ht="15" customHeight="1" x14ac:dyDescent="0.3">
      <c r="B13" s="185"/>
      <c r="C13" s="182"/>
      <c r="D13" s="187"/>
      <c r="E13" s="153"/>
      <c r="F13" s="153"/>
      <c r="G13" s="153"/>
      <c r="H13" s="172" t="s">
        <v>150</v>
      </c>
      <c r="I13" s="175">
        <v>0.02</v>
      </c>
      <c r="J13" s="153"/>
    </row>
    <row r="14" spans="1:16" ht="15" customHeight="1" x14ac:dyDescent="0.3">
      <c r="B14" s="185"/>
      <c r="C14" s="182"/>
      <c r="D14" s="187"/>
      <c r="E14" s="153"/>
      <c r="F14" s="153"/>
      <c r="G14" s="153"/>
      <c r="H14" s="173"/>
      <c r="I14" s="176"/>
      <c r="J14" s="153"/>
    </row>
    <row r="15" spans="1:16" ht="15" customHeight="1" x14ac:dyDescent="0.3">
      <c r="B15" s="186"/>
      <c r="C15" s="183"/>
      <c r="D15" s="187"/>
      <c r="E15" s="153"/>
      <c r="F15" s="153"/>
      <c r="G15" s="153"/>
      <c r="H15" s="174"/>
      <c r="I15" s="177"/>
      <c r="J15" s="153"/>
    </row>
    <row r="16" spans="1:16" x14ac:dyDescent="0.3">
      <c r="A16" s="24"/>
      <c r="B16" s="16" t="s">
        <v>121</v>
      </c>
      <c r="C16" s="23" t="s">
        <v>107</v>
      </c>
      <c r="D16" s="19">
        <v>100</v>
      </c>
      <c r="E16" s="74">
        <v>23909130.729999997</v>
      </c>
      <c r="F16" s="74">
        <f>+G16-E16</f>
        <v>1090136.2700000033</v>
      </c>
      <c r="G16" s="74">
        <v>24999267</v>
      </c>
      <c r="H16" s="49"/>
      <c r="I16" s="28"/>
      <c r="J16" s="74">
        <f>23225488.12+4570.38-77612.07</f>
        <v>23152446.43</v>
      </c>
      <c r="K16" s="8"/>
      <c r="L16" s="82"/>
      <c r="M16" s="67"/>
    </row>
    <row r="17" spans="1:14" ht="15" customHeight="1" x14ac:dyDescent="0.3">
      <c r="A17" s="24"/>
      <c r="B17" s="147" t="s">
        <v>122</v>
      </c>
      <c r="C17" s="154" t="s">
        <v>194</v>
      </c>
      <c r="D17" s="178">
        <v>100</v>
      </c>
      <c r="E17" s="159">
        <v>11711105</v>
      </c>
      <c r="F17" s="159">
        <f>+G17-E17</f>
        <v>-375185</v>
      </c>
      <c r="G17" s="161">
        <v>11335920</v>
      </c>
      <c r="H17" s="76" t="s">
        <v>151</v>
      </c>
      <c r="I17" s="77">
        <v>0.05</v>
      </c>
      <c r="J17" s="159">
        <v>11443425.140000001</v>
      </c>
      <c r="M17" s="67"/>
    </row>
    <row r="18" spans="1:14" ht="15" customHeight="1" x14ac:dyDescent="0.3">
      <c r="A18" s="24"/>
      <c r="B18" s="148"/>
      <c r="C18" s="155"/>
      <c r="D18" s="179"/>
      <c r="E18" s="164"/>
      <c r="F18" s="164"/>
      <c r="G18" s="162"/>
      <c r="H18" s="76" t="s">
        <v>152</v>
      </c>
      <c r="I18" s="77">
        <v>0.02</v>
      </c>
      <c r="J18" s="164"/>
      <c r="M18" s="67"/>
      <c r="N18" s="82"/>
    </row>
    <row r="19" spans="1:14" ht="15" customHeight="1" x14ac:dyDescent="0.3">
      <c r="A19" s="24"/>
      <c r="B19" s="148"/>
      <c r="C19" s="155"/>
      <c r="D19" s="179"/>
      <c r="E19" s="164"/>
      <c r="F19" s="164"/>
      <c r="G19" s="162"/>
      <c r="H19" s="76" t="s">
        <v>153</v>
      </c>
      <c r="I19" s="77">
        <v>0.05</v>
      </c>
      <c r="J19" s="164"/>
      <c r="M19" s="67"/>
      <c r="N19" s="82"/>
    </row>
    <row r="20" spans="1:14" ht="15" customHeight="1" x14ac:dyDescent="0.3">
      <c r="A20" s="24"/>
      <c r="B20" s="148"/>
      <c r="C20" s="155"/>
      <c r="D20" s="179"/>
      <c r="E20" s="164"/>
      <c r="F20" s="164"/>
      <c r="G20" s="162"/>
      <c r="H20" s="76" t="s">
        <v>154</v>
      </c>
      <c r="I20" s="77">
        <v>0.05</v>
      </c>
      <c r="J20" s="164"/>
      <c r="M20" s="67"/>
    </row>
    <row r="21" spans="1:14" ht="15" customHeight="1" x14ac:dyDescent="0.3">
      <c r="A21" s="24"/>
      <c r="B21" s="148"/>
      <c r="C21" s="155"/>
      <c r="D21" s="180"/>
      <c r="E21" s="160"/>
      <c r="F21" s="160"/>
      <c r="G21" s="163"/>
      <c r="H21" s="95" t="s">
        <v>155</v>
      </c>
      <c r="I21" s="96">
        <v>0.02</v>
      </c>
      <c r="J21" s="160"/>
    </row>
    <row r="22" spans="1:14" ht="15" customHeight="1" x14ac:dyDescent="0.3">
      <c r="A22" s="24"/>
      <c r="B22" s="148"/>
      <c r="C22" s="155"/>
      <c r="D22" s="101">
        <v>120</v>
      </c>
      <c r="E22" s="75"/>
      <c r="F22" s="74">
        <f t="shared" ref="F22:F23" si="1">+G22-E22</f>
        <v>1324842</v>
      </c>
      <c r="G22" s="75">
        <v>1324842</v>
      </c>
      <c r="H22" s="94"/>
      <c r="I22" s="93"/>
      <c r="J22" s="75"/>
    </row>
    <row r="23" spans="1:14" ht="15" customHeight="1" x14ac:dyDescent="0.3">
      <c r="A23" s="24"/>
      <c r="B23" s="148"/>
      <c r="C23" s="155"/>
      <c r="D23" s="101">
        <v>320</v>
      </c>
      <c r="E23" s="75"/>
      <c r="F23" s="74">
        <f t="shared" si="1"/>
        <v>2325000</v>
      </c>
      <c r="G23" s="74">
        <v>2325000</v>
      </c>
      <c r="H23" s="94"/>
      <c r="I23" s="93"/>
      <c r="J23" s="75">
        <v>48875.659999999996</v>
      </c>
    </row>
    <row r="24" spans="1:14" ht="15" customHeight="1" x14ac:dyDescent="0.3">
      <c r="A24" s="24"/>
      <c r="B24" s="148"/>
      <c r="C24" s="155"/>
      <c r="D24" s="81">
        <v>150</v>
      </c>
      <c r="E24" s="74">
        <v>2400000</v>
      </c>
      <c r="F24" s="74">
        <f>+G24-E24</f>
        <v>113459</v>
      </c>
      <c r="G24" s="74">
        <v>2513459</v>
      </c>
      <c r="H24"/>
      <c r="I24"/>
      <c r="J24" s="74">
        <v>2495413.1500000004</v>
      </c>
    </row>
    <row r="25" spans="1:14" ht="15" customHeight="1" x14ac:dyDescent="0.3">
      <c r="A25" s="24"/>
      <c r="B25" s="149"/>
      <c r="C25" s="156"/>
      <c r="D25" s="101">
        <v>350</v>
      </c>
      <c r="E25" s="75">
        <v>643434.43000000005</v>
      </c>
      <c r="F25" s="74">
        <f>+G25-E25</f>
        <v>143954.56999999995</v>
      </c>
      <c r="G25" s="75">
        <v>787389</v>
      </c>
      <c r="H25" s="49"/>
      <c r="I25" s="78"/>
      <c r="J25" s="103">
        <v>87516.64</v>
      </c>
      <c r="K25" s="82"/>
    </row>
    <row r="26" spans="1:14" ht="15" customHeight="1" x14ac:dyDescent="0.3">
      <c r="A26" s="24"/>
      <c r="B26" s="170" t="s">
        <v>123</v>
      </c>
      <c r="C26" s="168" t="s">
        <v>158</v>
      </c>
      <c r="D26" s="178">
        <v>100</v>
      </c>
      <c r="E26" s="159">
        <v>200000</v>
      </c>
      <c r="F26" s="159">
        <f>+G26-E26</f>
        <v>295185</v>
      </c>
      <c r="G26" s="159">
        <v>495185</v>
      </c>
      <c r="H26" s="76" t="s">
        <v>156</v>
      </c>
      <c r="I26" s="77">
        <v>0.02</v>
      </c>
      <c r="J26" s="166">
        <v>494399.27</v>
      </c>
      <c r="K26" s="82"/>
    </row>
    <row r="27" spans="1:14" ht="15" customHeight="1" x14ac:dyDescent="0.3">
      <c r="A27" s="24"/>
      <c r="B27" s="171"/>
      <c r="C27" s="169"/>
      <c r="D27" s="180"/>
      <c r="E27" s="160"/>
      <c r="F27" s="160"/>
      <c r="G27" s="160"/>
      <c r="H27" s="76" t="s">
        <v>157</v>
      </c>
      <c r="I27" s="77">
        <v>0.02</v>
      </c>
      <c r="J27" s="167"/>
    </row>
    <row r="28" spans="1:14" ht="15" customHeight="1" x14ac:dyDescent="0.3">
      <c r="A28" s="24"/>
      <c r="B28" s="145" t="s">
        <v>124</v>
      </c>
      <c r="C28" s="146" t="s">
        <v>160</v>
      </c>
      <c r="D28" s="66">
        <v>100</v>
      </c>
      <c r="E28" s="74">
        <v>11572000</v>
      </c>
      <c r="F28" s="74">
        <f>+G28-E28</f>
        <v>4054430</v>
      </c>
      <c r="G28" s="74">
        <v>15626430</v>
      </c>
      <c r="H28" s="76" t="s">
        <v>159</v>
      </c>
      <c r="I28" s="79">
        <v>5</v>
      </c>
      <c r="J28" s="74">
        <v>16052598.789999999</v>
      </c>
      <c r="M28" s="82"/>
    </row>
    <row r="29" spans="1:14" ht="15" customHeight="1" x14ac:dyDescent="0.3">
      <c r="A29" s="24"/>
      <c r="B29" s="145"/>
      <c r="C29" s="146"/>
      <c r="D29" s="66">
        <v>150</v>
      </c>
      <c r="E29" s="74">
        <v>3000000</v>
      </c>
      <c r="F29" s="74">
        <f t="shared" ref="F29:F37" si="2">+G29-E29</f>
        <v>0</v>
      </c>
      <c r="G29" s="74">
        <v>3000000</v>
      </c>
      <c r="H29" s="76">
        <v>3022104.51</v>
      </c>
      <c r="I29" s="79"/>
      <c r="J29" s="74">
        <v>1297000</v>
      </c>
    </row>
    <row r="30" spans="1:14" ht="13.5" customHeight="1" x14ac:dyDescent="0.3">
      <c r="A30" s="24"/>
      <c r="B30" s="145"/>
      <c r="C30" s="146"/>
      <c r="D30" s="66">
        <v>350</v>
      </c>
      <c r="E30" s="74"/>
      <c r="F30" s="74">
        <f t="shared" si="2"/>
        <v>22105</v>
      </c>
      <c r="G30" s="74">
        <v>22105</v>
      </c>
      <c r="H30" s="76"/>
      <c r="I30" s="79"/>
      <c r="J30" s="74"/>
    </row>
    <row r="31" spans="1:14" ht="23.25" customHeight="1" x14ac:dyDescent="0.3">
      <c r="A31" s="24"/>
      <c r="B31" s="98" t="s">
        <v>205</v>
      </c>
      <c r="C31" s="85" t="s">
        <v>195</v>
      </c>
      <c r="D31" s="81">
        <v>100</v>
      </c>
      <c r="E31" s="75">
        <v>5207435.99</v>
      </c>
      <c r="F31" s="74">
        <f t="shared" si="2"/>
        <v>403342.00999999978</v>
      </c>
      <c r="G31" s="75">
        <v>5610778</v>
      </c>
      <c r="H31" s="76"/>
      <c r="I31" s="79"/>
      <c r="J31" s="75">
        <v>5204611.3899999997</v>
      </c>
      <c r="K31" s="82"/>
    </row>
    <row r="32" spans="1:14" ht="15" customHeight="1" x14ac:dyDescent="0.3">
      <c r="A32" s="24"/>
      <c r="B32" s="147" t="s">
        <v>206</v>
      </c>
      <c r="C32" s="150" t="s">
        <v>140</v>
      </c>
      <c r="D32" s="66">
        <v>100</v>
      </c>
      <c r="E32" s="92">
        <v>13866910</v>
      </c>
      <c r="F32" s="74">
        <f t="shared" si="2"/>
        <v>-1617772</v>
      </c>
      <c r="G32" s="92">
        <v>12249138</v>
      </c>
      <c r="H32" s="76" t="s">
        <v>161</v>
      </c>
      <c r="I32" s="79">
        <v>50</v>
      </c>
      <c r="J32" s="92">
        <v>11696695.689999999</v>
      </c>
      <c r="M32" s="82"/>
    </row>
    <row r="33" spans="1:13" ht="15" customHeight="1" x14ac:dyDescent="0.3">
      <c r="A33" s="24"/>
      <c r="B33" s="148"/>
      <c r="C33" s="151"/>
      <c r="D33" s="99">
        <v>120</v>
      </c>
      <c r="E33" s="17"/>
      <c r="F33" s="74">
        <f t="shared" si="2"/>
        <v>1000000</v>
      </c>
      <c r="G33" s="102">
        <v>1000000</v>
      </c>
      <c r="H33" s="17"/>
      <c r="I33" s="17"/>
      <c r="J33" s="92"/>
    </row>
    <row r="34" spans="1:13" ht="15" customHeight="1" x14ac:dyDescent="0.3">
      <c r="A34" s="24"/>
      <c r="B34" s="149"/>
      <c r="C34" s="152"/>
      <c r="D34" s="66">
        <v>320</v>
      </c>
      <c r="E34" s="92"/>
      <c r="F34" s="74">
        <f>+G34-E34</f>
        <v>2100000</v>
      </c>
      <c r="G34" s="92">
        <v>2100000</v>
      </c>
      <c r="H34" s="76" t="s">
        <v>162</v>
      </c>
      <c r="I34" s="77">
        <v>0.05</v>
      </c>
      <c r="J34" s="92">
        <v>198352.94</v>
      </c>
    </row>
    <row r="35" spans="1:13" ht="15" customHeight="1" x14ac:dyDescent="0.3">
      <c r="A35" s="24"/>
      <c r="B35" s="16" t="s">
        <v>207</v>
      </c>
      <c r="C35" s="80" t="s">
        <v>196</v>
      </c>
      <c r="D35" s="66">
        <v>350</v>
      </c>
      <c r="E35" s="92">
        <v>5142973.63</v>
      </c>
      <c r="F35" s="74">
        <f t="shared" si="2"/>
        <v>76184.05999999959</v>
      </c>
      <c r="G35" s="92">
        <v>5219157.6899999995</v>
      </c>
      <c r="H35" s="76"/>
      <c r="I35" s="77"/>
      <c r="J35" s="92">
        <v>5120882.6899999995</v>
      </c>
    </row>
    <row r="36" spans="1:13" x14ac:dyDescent="0.3">
      <c r="A36" s="24"/>
      <c r="B36" s="16" t="s">
        <v>125</v>
      </c>
      <c r="C36" s="32" t="s">
        <v>25</v>
      </c>
      <c r="D36" s="19">
        <v>100</v>
      </c>
      <c r="E36" s="74">
        <v>5578885.0099999998</v>
      </c>
      <c r="F36" s="74">
        <f t="shared" si="2"/>
        <v>-4485482.01</v>
      </c>
      <c r="G36" s="74">
        <v>1093403</v>
      </c>
      <c r="H36" s="157" t="s">
        <v>145</v>
      </c>
      <c r="I36" s="144">
        <v>40</v>
      </c>
      <c r="J36" s="74"/>
      <c r="M36" s="82"/>
    </row>
    <row r="37" spans="1:13" x14ac:dyDescent="0.3">
      <c r="A37" s="24"/>
      <c r="B37" s="16" t="s">
        <v>208</v>
      </c>
      <c r="C37" s="32" t="s">
        <v>25</v>
      </c>
      <c r="D37" s="19">
        <v>300</v>
      </c>
      <c r="E37" s="74">
        <v>12978786.199999999</v>
      </c>
      <c r="F37" s="74">
        <f t="shared" si="2"/>
        <v>4485481.8000000007</v>
      </c>
      <c r="G37" s="74">
        <v>17464268</v>
      </c>
      <c r="H37" s="158"/>
      <c r="I37" s="144"/>
      <c r="J37" s="74">
        <f>+Despesa!J36</f>
        <v>17197259.010000002</v>
      </c>
    </row>
    <row r="38" spans="1:13" x14ac:dyDescent="0.3">
      <c r="B38" s="16"/>
      <c r="C38" s="20"/>
      <c r="D38" s="19"/>
      <c r="E38" s="74"/>
      <c r="F38" s="74"/>
      <c r="G38" s="74"/>
      <c r="H38" s="30"/>
      <c r="I38" s="28"/>
      <c r="J38" s="74"/>
    </row>
    <row r="39" spans="1:13" ht="28.8" x14ac:dyDescent="0.3">
      <c r="B39" s="16">
        <v>3</v>
      </c>
      <c r="C39" s="47" t="s">
        <v>33</v>
      </c>
      <c r="D39" s="19"/>
      <c r="E39" s="48">
        <f>SUM(E40:E45)</f>
        <v>29907000</v>
      </c>
      <c r="F39" s="48">
        <f t="shared" ref="F39:I39" si="3">SUM(F40:F45)</f>
        <v>0</v>
      </c>
      <c r="G39" s="48">
        <f t="shared" si="3"/>
        <v>29907000</v>
      </c>
      <c r="H39" s="48">
        <f t="shared" si="3"/>
        <v>0</v>
      </c>
      <c r="I39" s="48">
        <f t="shared" si="3"/>
        <v>0</v>
      </c>
      <c r="J39" s="48">
        <f>SUM(J40:J45)</f>
        <v>0</v>
      </c>
    </row>
    <row r="40" spans="1:13" x14ac:dyDescent="0.3">
      <c r="B40" s="16" t="s">
        <v>126</v>
      </c>
      <c r="C40" s="23" t="s">
        <v>28</v>
      </c>
      <c r="D40" s="19">
        <v>300</v>
      </c>
      <c r="E40" s="74">
        <v>14000000</v>
      </c>
      <c r="F40" s="74">
        <f>+G40-E40</f>
        <v>0</v>
      </c>
      <c r="G40" s="74">
        <v>14000000</v>
      </c>
      <c r="H40" s="30"/>
      <c r="I40" s="28"/>
      <c r="J40" s="74"/>
    </row>
    <row r="41" spans="1:13" x14ac:dyDescent="0.3">
      <c r="B41" s="16" t="s">
        <v>127</v>
      </c>
      <c r="C41" s="23" t="s">
        <v>29</v>
      </c>
      <c r="D41" s="19">
        <v>300</v>
      </c>
      <c r="E41" s="74">
        <v>14557000</v>
      </c>
      <c r="F41" s="74">
        <f t="shared" ref="F41:F42" si="4">+G41-E41</f>
        <v>0</v>
      </c>
      <c r="G41" s="74">
        <v>14557000</v>
      </c>
      <c r="H41" s="16"/>
      <c r="I41" s="23"/>
      <c r="J41" s="19"/>
    </row>
    <row r="42" spans="1:13" x14ac:dyDescent="0.3">
      <c r="B42" s="16" t="s">
        <v>164</v>
      </c>
      <c r="C42" s="23" t="s">
        <v>163</v>
      </c>
      <c r="D42" s="19">
        <v>300</v>
      </c>
      <c r="E42" s="74">
        <v>1350000</v>
      </c>
      <c r="F42" s="74">
        <f t="shared" si="4"/>
        <v>0</v>
      </c>
      <c r="G42" s="74">
        <v>1350000</v>
      </c>
      <c r="H42" s="16"/>
      <c r="I42" s="23"/>
      <c r="J42" s="19"/>
    </row>
    <row r="43" spans="1:13" x14ac:dyDescent="0.3">
      <c r="B43" s="16"/>
      <c r="C43" s="23"/>
      <c r="D43" s="19"/>
      <c r="E43" s="74"/>
      <c r="F43" s="74"/>
      <c r="G43" s="74"/>
      <c r="H43" s="30"/>
      <c r="I43" s="28"/>
      <c r="J43" s="74"/>
    </row>
    <row r="44" spans="1:13" x14ac:dyDescent="0.3">
      <c r="B44" s="16"/>
      <c r="C44" s="23"/>
      <c r="D44" s="19"/>
      <c r="E44" s="74"/>
      <c r="F44" s="74"/>
      <c r="G44" s="74"/>
      <c r="H44" s="30"/>
      <c r="I44" s="28"/>
      <c r="J44" s="74"/>
    </row>
    <row r="45" spans="1:13" x14ac:dyDescent="0.3">
      <c r="B45" s="16"/>
      <c r="C45" s="23"/>
      <c r="D45" s="19"/>
      <c r="E45" s="74"/>
      <c r="F45" s="74"/>
      <c r="G45" s="74"/>
      <c r="H45" s="30"/>
      <c r="I45" s="28"/>
      <c r="J45" s="74"/>
    </row>
    <row r="46" spans="1:13" x14ac:dyDescent="0.3">
      <c r="B46" s="16"/>
      <c r="C46" s="21"/>
      <c r="D46" s="19"/>
      <c r="E46" s="74"/>
      <c r="F46" s="74"/>
      <c r="G46" s="74"/>
      <c r="H46" s="30"/>
      <c r="I46" s="28"/>
      <c r="J46" s="74"/>
    </row>
    <row r="47" spans="1:13" x14ac:dyDescent="0.3">
      <c r="B47" s="16"/>
      <c r="C47" s="22" t="s">
        <v>26</v>
      </c>
      <c r="D47" s="19"/>
      <c r="E47" s="48">
        <f>+E39+E10+E5</f>
        <v>152376194.26000002</v>
      </c>
      <c r="F47" s="48">
        <f>+F39+F10+F5</f>
        <v>12080326.429999989</v>
      </c>
      <c r="G47" s="48">
        <v>164456520</v>
      </c>
      <c r="H47" s="30"/>
      <c r="I47" s="28"/>
      <c r="J47" s="48">
        <f>+J39+J10+J5</f>
        <v>118333715.67999999</v>
      </c>
    </row>
    <row r="48" spans="1:13" x14ac:dyDescent="0.3">
      <c r="B48" s="33"/>
      <c r="C48" s="34"/>
      <c r="D48" s="34"/>
    </row>
    <row r="49" spans="10:10" x14ac:dyDescent="0.3">
      <c r="J49" s="8"/>
    </row>
    <row r="51" spans="10:10" x14ac:dyDescent="0.3">
      <c r="J51" s="8"/>
    </row>
    <row r="53" spans="10:10" x14ac:dyDescent="0.3">
      <c r="J53" s="55"/>
    </row>
  </sheetData>
  <mergeCells count="30">
    <mergeCell ref="B2:J2"/>
    <mergeCell ref="J10:J15"/>
    <mergeCell ref="J17:J21"/>
    <mergeCell ref="J26:J27"/>
    <mergeCell ref="C26:C27"/>
    <mergeCell ref="B26:B27"/>
    <mergeCell ref="H13:H15"/>
    <mergeCell ref="I13:I15"/>
    <mergeCell ref="D17:D21"/>
    <mergeCell ref="E17:E21"/>
    <mergeCell ref="E26:E27"/>
    <mergeCell ref="D26:D27"/>
    <mergeCell ref="C10:C15"/>
    <mergeCell ref="B10:B15"/>
    <mergeCell ref="E10:E15"/>
    <mergeCell ref="D10:D15"/>
    <mergeCell ref="G10:G15"/>
    <mergeCell ref="F10:F15"/>
    <mergeCell ref="C17:C25"/>
    <mergeCell ref="B17:B25"/>
    <mergeCell ref="H36:H37"/>
    <mergeCell ref="F26:F27"/>
    <mergeCell ref="G17:G21"/>
    <mergeCell ref="F17:F21"/>
    <mergeCell ref="G26:G27"/>
    <mergeCell ref="I36:I37"/>
    <mergeCell ref="B28:B30"/>
    <mergeCell ref="C28:C30"/>
    <mergeCell ref="B32:B34"/>
    <mergeCell ref="C32:C34"/>
  </mergeCells>
  <phoneticPr fontId="2" type="noConversion"/>
  <printOptions horizontalCentered="1"/>
  <pageMargins left="0.39370078740157483" right="0" top="0.39370078740157483" bottom="0" header="0.39370078740157483" footer="0.39370078740157483"/>
  <pageSetup paperSize="3" scale="85" orientation="landscape" r:id="rId1"/>
  <ignoredErrors>
    <ignoredError sqref="F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263C-CC0A-4E43-893B-198AD7D76D38}">
  <dimension ref="B2:J22"/>
  <sheetViews>
    <sheetView zoomScaleNormal="100" workbookViewId="0">
      <selection activeCell="N30" sqref="N30"/>
    </sheetView>
  </sheetViews>
  <sheetFormatPr defaultColWidth="9.109375" defaultRowHeight="14.4" x14ac:dyDescent="0.3"/>
  <cols>
    <col min="2" max="2" width="19.33203125" customWidth="1"/>
    <col min="3" max="3" width="23.6640625" customWidth="1"/>
    <col min="4" max="4" width="18.44140625" customWidth="1"/>
    <col min="5" max="5" width="23.44140625" customWidth="1"/>
    <col min="6" max="6" width="18.33203125" customWidth="1"/>
    <col min="7" max="7" width="17.33203125" customWidth="1"/>
    <col min="8" max="8" width="23.33203125" customWidth="1"/>
    <col min="10" max="10" width="15" bestFit="1" customWidth="1"/>
  </cols>
  <sheetData>
    <row r="2" spans="2:10" x14ac:dyDescent="0.3">
      <c r="B2" s="128" t="s">
        <v>176</v>
      </c>
      <c r="C2" s="128"/>
      <c r="D2" s="128"/>
      <c r="E2" s="128"/>
      <c r="F2" s="128"/>
      <c r="G2" s="128"/>
      <c r="H2" s="128"/>
    </row>
    <row r="3" spans="2:10" ht="18" x14ac:dyDescent="0.3">
      <c r="B3" s="129" t="s">
        <v>213</v>
      </c>
      <c r="C3" s="129"/>
      <c r="D3" s="129"/>
      <c r="E3" s="129"/>
      <c r="F3" s="129"/>
      <c r="G3" s="129"/>
      <c r="H3" s="129"/>
    </row>
    <row r="4" spans="2:10" x14ac:dyDescent="0.3">
      <c r="B4" s="3"/>
      <c r="C4" s="2" t="s">
        <v>175</v>
      </c>
      <c r="D4" s="4" t="s">
        <v>11</v>
      </c>
      <c r="E4" s="4" t="s">
        <v>17</v>
      </c>
      <c r="F4" s="62" t="s">
        <v>47</v>
      </c>
      <c r="G4" s="62" t="s">
        <v>165</v>
      </c>
      <c r="H4" s="62" t="s">
        <v>26</v>
      </c>
    </row>
    <row r="5" spans="2:10" x14ac:dyDescent="0.3">
      <c r="B5" s="1" t="s">
        <v>52</v>
      </c>
      <c r="C5" s="116">
        <v>13251672.310000001</v>
      </c>
      <c r="D5" s="44">
        <v>470397.03</v>
      </c>
      <c r="E5" s="117"/>
      <c r="F5" s="63"/>
      <c r="G5" s="63">
        <v>178.6</v>
      </c>
      <c r="H5" s="63">
        <f>SUM(C5:G5)</f>
        <v>13722247.939999999</v>
      </c>
      <c r="J5" s="55"/>
    </row>
    <row r="6" spans="2:10" x14ac:dyDescent="0.3">
      <c r="B6" s="1" t="s">
        <v>53</v>
      </c>
      <c r="C6" s="118">
        <v>8315553.3099999996</v>
      </c>
      <c r="D6" s="44">
        <v>513240.68</v>
      </c>
      <c r="E6" s="117"/>
      <c r="F6" s="63"/>
      <c r="G6" s="63">
        <v>10587.869999999999</v>
      </c>
      <c r="H6" s="63">
        <f t="shared" ref="H6:H16" si="0">SUM(C6:G6)</f>
        <v>8839381.8599999994</v>
      </c>
      <c r="J6" s="55"/>
    </row>
    <row r="7" spans="2:10" x14ac:dyDescent="0.3">
      <c r="B7" s="1" t="s">
        <v>54</v>
      </c>
      <c r="C7" s="118">
        <v>8026753.0999999996</v>
      </c>
      <c r="D7" s="44">
        <v>541105.03</v>
      </c>
      <c r="E7" s="117"/>
      <c r="F7" s="63"/>
      <c r="G7" s="63">
        <v>16106.19</v>
      </c>
      <c r="H7" s="63">
        <f t="shared" si="0"/>
        <v>8583964.3199999984</v>
      </c>
      <c r="J7" s="8"/>
    </row>
    <row r="8" spans="2:10" x14ac:dyDescent="0.3">
      <c r="B8" s="1" t="s">
        <v>55</v>
      </c>
      <c r="C8" s="118">
        <v>7988620.9699999997</v>
      </c>
      <c r="D8" s="44">
        <v>465827.94</v>
      </c>
      <c r="E8" s="117">
        <v>878000</v>
      </c>
      <c r="F8" s="63"/>
      <c r="G8" s="63">
        <v>206.82</v>
      </c>
      <c r="H8" s="63">
        <f t="shared" si="0"/>
        <v>9332655.7300000004</v>
      </c>
      <c r="J8" s="55"/>
    </row>
    <row r="9" spans="2:10" x14ac:dyDescent="0.3">
      <c r="B9" s="1" t="s">
        <v>56</v>
      </c>
      <c r="C9" s="116">
        <v>8091817.5800000001</v>
      </c>
      <c r="D9" s="44">
        <v>694143.38</v>
      </c>
      <c r="E9" s="117">
        <v>500000</v>
      </c>
      <c r="F9" s="63"/>
      <c r="G9" s="63">
        <v>5296.12</v>
      </c>
      <c r="H9" s="63">
        <f t="shared" si="0"/>
        <v>9291257.0800000001</v>
      </c>
      <c r="J9" s="55"/>
    </row>
    <row r="10" spans="2:10" x14ac:dyDescent="0.3">
      <c r="B10" s="1" t="s">
        <v>57</v>
      </c>
      <c r="C10" s="44">
        <v>8278156.8099999996</v>
      </c>
      <c r="D10" s="44">
        <f>+'[1]DRE Receitas'!$H$38+'[1]DRE Receitas'!$H$62</f>
        <v>636290.82999999996</v>
      </c>
      <c r="E10" s="117">
        <v>2324842</v>
      </c>
      <c r="F10" s="63"/>
      <c r="G10" s="63">
        <v>370101.67</v>
      </c>
      <c r="H10" s="63">
        <f t="shared" si="0"/>
        <v>11609391.309999999</v>
      </c>
      <c r="J10" s="55"/>
    </row>
    <row r="11" spans="2:10" x14ac:dyDescent="0.3">
      <c r="B11" s="1" t="s">
        <v>58</v>
      </c>
      <c r="C11" s="44">
        <v>8243447.71</v>
      </c>
      <c r="D11" s="44">
        <v>713475.11</v>
      </c>
      <c r="E11" s="117">
        <v>1706217.85</v>
      </c>
      <c r="F11" s="63"/>
      <c r="G11" s="63">
        <v>235.88</v>
      </c>
      <c r="H11" s="63">
        <f t="shared" si="0"/>
        <v>10663376.550000001</v>
      </c>
      <c r="J11" s="55"/>
    </row>
    <row r="12" spans="2:10" x14ac:dyDescent="0.3">
      <c r="B12" s="1" t="s">
        <v>59</v>
      </c>
      <c r="C12" s="44">
        <v>8355853.7400000002</v>
      </c>
      <c r="D12" s="44">
        <v>830290.62</v>
      </c>
      <c r="E12" s="117"/>
      <c r="F12" s="63"/>
      <c r="G12" s="63">
        <v>226.77</v>
      </c>
      <c r="H12" s="63">
        <f t="shared" si="0"/>
        <v>9186371.129999999</v>
      </c>
    </row>
    <row r="13" spans="2:10" x14ac:dyDescent="0.3">
      <c r="B13" s="1" t="s">
        <v>60</v>
      </c>
      <c r="C13" s="44">
        <v>8617282.5800000001</v>
      </c>
      <c r="D13" s="44">
        <v>741604.92</v>
      </c>
      <c r="E13" s="117">
        <v>775158</v>
      </c>
      <c r="F13" s="63"/>
      <c r="G13" s="63">
        <v>5693.67</v>
      </c>
      <c r="H13" s="63">
        <f t="shared" si="0"/>
        <v>10139739.17</v>
      </c>
    </row>
    <row r="14" spans="2:10" x14ac:dyDescent="0.3">
      <c r="B14" s="1" t="s">
        <v>61</v>
      </c>
      <c r="C14" s="44">
        <v>8531186.3100000005</v>
      </c>
      <c r="D14" s="44">
        <v>650120.52000000014</v>
      </c>
      <c r="E14" s="117"/>
      <c r="F14" s="63"/>
      <c r="G14" s="63">
        <v>234.57</v>
      </c>
      <c r="H14" s="63">
        <f t="shared" si="0"/>
        <v>9181541.4000000004</v>
      </c>
    </row>
    <row r="15" spans="2:10" x14ac:dyDescent="0.3">
      <c r="B15" s="1" t="s">
        <v>62</v>
      </c>
      <c r="C15" s="44">
        <v>9287630.1099999994</v>
      </c>
      <c r="D15" s="44">
        <v>634479.43999999994</v>
      </c>
      <c r="E15" s="117">
        <v>2022720</v>
      </c>
      <c r="F15" s="63"/>
      <c r="G15" s="63">
        <v>225.93</v>
      </c>
      <c r="H15" s="63">
        <f t="shared" si="0"/>
        <v>11945055.479999999</v>
      </c>
    </row>
    <row r="16" spans="2:10" x14ac:dyDescent="0.3">
      <c r="B16" s="1" t="s">
        <v>63</v>
      </c>
      <c r="C16" s="44">
        <v>8253953.6500000004</v>
      </c>
      <c r="D16" s="44">
        <v>655260.29999999993</v>
      </c>
      <c r="E16" s="117">
        <v>995965</v>
      </c>
      <c r="F16" s="63"/>
      <c r="G16" s="63">
        <v>150842.33000000002</v>
      </c>
      <c r="H16" s="63">
        <f t="shared" si="0"/>
        <v>10056021.280000001</v>
      </c>
    </row>
    <row r="17" spans="2:10" x14ac:dyDescent="0.3">
      <c r="B17" s="2" t="s">
        <v>34</v>
      </c>
      <c r="C17" s="42">
        <f>SUM(C5:C16)</f>
        <v>105241928.18000001</v>
      </c>
      <c r="D17" s="42">
        <f>SUM(D5:D16)</f>
        <v>7546235.7999999998</v>
      </c>
      <c r="E17" s="42">
        <f>SUM(E5:E16)</f>
        <v>9202902.8499999996</v>
      </c>
      <c r="F17" s="42">
        <f>SUM(F5:F16)</f>
        <v>0</v>
      </c>
      <c r="G17" s="42">
        <f>SUM(G5:G16)</f>
        <v>559936.41999999993</v>
      </c>
      <c r="H17" s="84">
        <f>SUM(C17:G17)</f>
        <v>122551003.25</v>
      </c>
      <c r="J17" s="55">
        <f>+H17-Receita!H8</f>
        <v>0</v>
      </c>
    </row>
    <row r="22" spans="2:10" x14ac:dyDescent="0.3">
      <c r="H22" s="55">
        <f>+H17-Receita!H8</f>
        <v>0</v>
      </c>
    </row>
  </sheetData>
  <mergeCells count="2">
    <mergeCell ref="B2:H2"/>
    <mergeCell ref="B3:H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3:J13"/>
  <sheetViews>
    <sheetView zoomScale="82" zoomScaleNormal="82" workbookViewId="0">
      <selection activeCell="N30" sqref="N30"/>
    </sheetView>
  </sheetViews>
  <sheetFormatPr defaultColWidth="8.88671875" defaultRowHeight="14.4" x14ac:dyDescent="0.3"/>
  <cols>
    <col min="3" max="3" width="12.44140625" customWidth="1"/>
    <col min="4" max="4" width="54" bestFit="1" customWidth="1"/>
    <col min="5" max="5" width="23.6640625" customWidth="1"/>
    <col min="6" max="6" width="18" customWidth="1"/>
    <col min="7" max="7" width="20.44140625" customWidth="1"/>
    <col min="8" max="8" width="18" customWidth="1"/>
    <col min="9" max="9" width="14.44140625" bestFit="1" customWidth="1"/>
  </cols>
  <sheetData>
    <row r="3" spans="3:10" ht="97.5" customHeight="1" x14ac:dyDescent="0.3">
      <c r="C3" s="2" t="s">
        <v>0</v>
      </c>
      <c r="D3" s="2" t="s">
        <v>1</v>
      </c>
      <c r="E3" s="2" t="s">
        <v>191</v>
      </c>
      <c r="F3" s="2" t="s">
        <v>186</v>
      </c>
      <c r="G3" s="2" t="s">
        <v>211</v>
      </c>
      <c r="H3" s="2" t="s">
        <v>192</v>
      </c>
    </row>
    <row r="4" spans="3:10" x14ac:dyDescent="0.3">
      <c r="C4" s="1">
        <v>100</v>
      </c>
      <c r="D4" s="26" t="s">
        <v>135</v>
      </c>
      <c r="E4" s="45">
        <f>+Receita!E12+Receita!E16+Receita!E29</f>
        <v>98304000</v>
      </c>
      <c r="F4" s="45">
        <f>+G4-E4</f>
        <v>0</v>
      </c>
      <c r="G4" s="45">
        <f>+Receita!G12+Receita!G16+Receita!G29</f>
        <v>98304000.000000015</v>
      </c>
      <c r="H4" s="45">
        <f>+Receita!H12+Receita!H16+Receita!H31</f>
        <v>112327575.08000001</v>
      </c>
    </row>
    <row r="5" spans="3:10" x14ac:dyDescent="0.3">
      <c r="C5" s="1">
        <v>300</v>
      </c>
      <c r="D5" s="6" t="s">
        <v>136</v>
      </c>
      <c r="E5" s="45">
        <f>+Receita!E36</f>
        <v>42885786.200000003</v>
      </c>
      <c r="F5" s="45">
        <f t="shared" ref="F5:F9" si="0">+G5-E5</f>
        <v>4974781.7099999934</v>
      </c>
      <c r="G5" s="45">
        <f>+Receita!G36</f>
        <v>47860567.909999996</v>
      </c>
      <c r="H5" s="45">
        <f>+Receita!H36</f>
        <v>47860567.909999996</v>
      </c>
    </row>
    <row r="6" spans="3:10" x14ac:dyDescent="0.3">
      <c r="C6" s="1">
        <v>120</v>
      </c>
      <c r="D6" s="6" t="s">
        <v>200</v>
      </c>
      <c r="E6" s="45"/>
      <c r="F6" s="45">
        <f t="shared" si="0"/>
        <v>2324842</v>
      </c>
      <c r="G6" s="45">
        <f>+Receita!G22</f>
        <v>2324842</v>
      </c>
      <c r="H6" s="45">
        <f>+Receita!H22+Receita!H17</f>
        <v>3613733.14</v>
      </c>
    </row>
    <row r="7" spans="3:10" x14ac:dyDescent="0.3">
      <c r="C7" s="1">
        <v>320</v>
      </c>
      <c r="D7" s="6" t="s">
        <v>199</v>
      </c>
      <c r="E7" s="44"/>
      <c r="F7" s="45">
        <f>+G7-E7</f>
        <v>4425000</v>
      </c>
      <c r="G7" s="44">
        <f>+Receita!G40</f>
        <v>4425000</v>
      </c>
      <c r="H7" s="44">
        <f>+Receita!H40</f>
        <v>4425000</v>
      </c>
    </row>
    <row r="8" spans="3:10" x14ac:dyDescent="0.3">
      <c r="C8" s="1">
        <v>150</v>
      </c>
      <c r="D8" s="6" t="s">
        <v>137</v>
      </c>
      <c r="E8" s="45">
        <f>+Receita!E23+Receita!E18</f>
        <v>5513458.9800000004</v>
      </c>
      <c r="F8" s="45">
        <f t="shared" si="0"/>
        <v>0</v>
      </c>
      <c r="G8" s="45">
        <f>+Receita!G23+Receita!G18</f>
        <v>5513458.9800000004</v>
      </c>
      <c r="H8" s="45">
        <f>+Receita!H23+Receita!H18</f>
        <v>6609695.0299999993</v>
      </c>
    </row>
    <row r="9" spans="3:10" x14ac:dyDescent="0.3">
      <c r="C9" s="1">
        <v>350</v>
      </c>
      <c r="D9" s="6" t="s">
        <v>138</v>
      </c>
      <c r="E9" s="45">
        <f>+Receita!E38</f>
        <v>5672949.0799999991</v>
      </c>
      <c r="F9" s="45">
        <f t="shared" si="0"/>
        <v>355702.49000000022</v>
      </c>
      <c r="G9" s="45">
        <f>+Receita!G38</f>
        <v>6028651.5699999994</v>
      </c>
      <c r="H9" s="45">
        <f>+Receita!H38</f>
        <v>6028651.5699999994</v>
      </c>
      <c r="I9" s="55"/>
    </row>
    <row r="10" spans="3:10" x14ac:dyDescent="0.3">
      <c r="C10" s="130"/>
      <c r="D10" s="131"/>
      <c r="E10" s="42">
        <f>SUM(E4:E9)</f>
        <v>152376194.25999999</v>
      </c>
      <c r="F10" s="42">
        <f>SUM(F4:F9)</f>
        <v>12080326.199999994</v>
      </c>
      <c r="G10" s="42">
        <f>SUM(G4:G9)</f>
        <v>164456520.46000001</v>
      </c>
      <c r="H10" s="42">
        <f>SUM(H4:H9)</f>
        <v>180865222.72999999</v>
      </c>
      <c r="J10" s="55"/>
    </row>
    <row r="13" spans="3:10" x14ac:dyDescent="0.3">
      <c r="H13" s="55">
        <f>+H10-Receita!H5</f>
        <v>0</v>
      </c>
    </row>
  </sheetData>
  <mergeCells count="1">
    <mergeCell ref="C10:D1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3" fitToHeight="28" orientation="landscape" r:id="rId1"/>
  <ignoredErrors>
    <ignoredError sqref="G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I18"/>
  <sheetViews>
    <sheetView zoomScale="50" zoomScaleNormal="50" workbookViewId="0">
      <selection activeCell="N30" sqref="N30"/>
    </sheetView>
  </sheetViews>
  <sheetFormatPr defaultColWidth="8.88671875" defaultRowHeight="14.4" x14ac:dyDescent="0.3"/>
  <cols>
    <col min="2" max="2" width="15.88671875" customWidth="1"/>
    <col min="3" max="3" width="76.44140625" customWidth="1"/>
    <col min="4" max="4" width="17.44140625" bestFit="1" customWidth="1"/>
    <col min="5" max="6" width="17.44140625" customWidth="1"/>
    <col min="7" max="7" width="21.109375" customWidth="1"/>
    <col min="9" max="9" width="15" bestFit="1" customWidth="1"/>
  </cols>
  <sheetData>
    <row r="3" spans="2:9" ht="115.2" x14ac:dyDescent="0.3">
      <c r="B3" s="2" t="s">
        <v>0</v>
      </c>
      <c r="C3" s="2" t="s">
        <v>1</v>
      </c>
      <c r="D3" s="2" t="s">
        <v>191</v>
      </c>
      <c r="E3" s="2" t="s">
        <v>186</v>
      </c>
      <c r="F3" s="2" t="s">
        <v>211</v>
      </c>
      <c r="G3" s="2" t="s">
        <v>193</v>
      </c>
    </row>
    <row r="4" spans="2:9" x14ac:dyDescent="0.3">
      <c r="B4" s="2" t="s">
        <v>110</v>
      </c>
      <c r="C4" s="4" t="s">
        <v>112</v>
      </c>
      <c r="D4" s="42">
        <f>D5+D6</f>
        <v>42885786.200000003</v>
      </c>
      <c r="E4" s="42">
        <f t="shared" ref="E4:F4" si="0">E5+E6</f>
        <v>4974781.7099999934</v>
      </c>
      <c r="F4" s="42">
        <f t="shared" si="0"/>
        <v>47860567.909999996</v>
      </c>
      <c r="G4" s="42">
        <f>G5+G6</f>
        <v>47860567.909999996</v>
      </c>
      <c r="H4" s="12"/>
    </row>
    <row r="5" spans="2:9" x14ac:dyDescent="0.3">
      <c r="B5" s="1"/>
      <c r="C5" s="3" t="s">
        <v>114</v>
      </c>
      <c r="D5" s="44">
        <f>+'Fontes de Recursos'!E5</f>
        <v>42885786.200000003</v>
      </c>
      <c r="E5" s="44">
        <f>+F5-D5</f>
        <v>4974781.7099999934</v>
      </c>
      <c r="F5" s="44">
        <f>+Receita!G36</f>
        <v>47860567.909999996</v>
      </c>
      <c r="G5" s="44">
        <f>+'Fontes de Recursos'!H5</f>
        <v>47860567.909999996</v>
      </c>
      <c r="H5" s="12"/>
    </row>
    <row r="6" spans="2:9" x14ac:dyDescent="0.3">
      <c r="B6" s="1"/>
      <c r="C6" s="3" t="s">
        <v>115</v>
      </c>
      <c r="D6" s="44"/>
      <c r="E6" s="44"/>
      <c r="F6" s="44"/>
      <c r="G6" s="44"/>
      <c r="H6" s="12"/>
      <c r="I6" s="55"/>
    </row>
    <row r="7" spans="2:9" x14ac:dyDescent="0.3">
      <c r="B7" s="1"/>
      <c r="C7" s="3"/>
      <c r="D7" s="44"/>
      <c r="E7" s="44"/>
      <c r="F7" s="44"/>
      <c r="G7" s="44"/>
      <c r="H7" s="12"/>
    </row>
    <row r="8" spans="2:9" x14ac:dyDescent="0.3">
      <c r="B8" s="2" t="s">
        <v>111</v>
      </c>
      <c r="C8" s="4" t="s">
        <v>24</v>
      </c>
      <c r="D8" s="42">
        <f>+D9+D10</f>
        <v>5672949.0799999991</v>
      </c>
      <c r="E8" s="42">
        <f t="shared" ref="E8:F8" si="1">+E9+E10</f>
        <v>355702.49000000022</v>
      </c>
      <c r="F8" s="42">
        <f t="shared" si="1"/>
        <v>6028651.5699999994</v>
      </c>
      <c r="G8" s="42">
        <f>+G9+G10</f>
        <v>6028651.5699999994</v>
      </c>
      <c r="H8" s="12"/>
    </row>
    <row r="9" spans="2:9" x14ac:dyDescent="0.3">
      <c r="B9" s="1"/>
      <c r="C9" s="3" t="s">
        <v>116</v>
      </c>
      <c r="D9" s="44">
        <f>+'Fontes de Recursos'!E9</f>
        <v>5672949.0799999991</v>
      </c>
      <c r="E9" s="44">
        <f>+F9-D9</f>
        <v>355702.49000000022</v>
      </c>
      <c r="F9" s="44">
        <f>+Receita!G38</f>
        <v>6028651.5699999994</v>
      </c>
      <c r="G9" s="44">
        <f>+'Fontes de Recursos'!H9</f>
        <v>6028651.5699999994</v>
      </c>
    </row>
    <row r="10" spans="2:9" x14ac:dyDescent="0.3">
      <c r="B10" s="1"/>
      <c r="C10" s="3" t="s">
        <v>117</v>
      </c>
      <c r="D10" s="44"/>
      <c r="E10" s="44"/>
      <c r="F10" s="44"/>
      <c r="G10" s="44"/>
    </row>
    <row r="11" spans="2:9" x14ac:dyDescent="0.3">
      <c r="B11" s="1"/>
      <c r="C11" s="3"/>
      <c r="D11" s="44"/>
      <c r="E11" s="44"/>
      <c r="F11" s="44"/>
      <c r="G11" s="44"/>
    </row>
    <row r="12" spans="2:9" x14ac:dyDescent="0.3">
      <c r="B12" s="2" t="s">
        <v>201</v>
      </c>
      <c r="C12" s="4" t="s">
        <v>198</v>
      </c>
      <c r="D12" s="42">
        <f>+D13+D14</f>
        <v>0</v>
      </c>
      <c r="E12" s="42">
        <f t="shared" ref="E12:F12" si="2">+E13+E14</f>
        <v>4425000</v>
      </c>
      <c r="F12" s="42">
        <f t="shared" si="2"/>
        <v>4425000</v>
      </c>
      <c r="G12" s="42">
        <f>+G13+G14</f>
        <v>4425000</v>
      </c>
    </row>
    <row r="13" spans="2:9" ht="28.8" x14ac:dyDescent="0.3">
      <c r="B13" s="1"/>
      <c r="C13" s="3" t="s">
        <v>202</v>
      </c>
      <c r="D13" s="44">
        <f>+'Fontes de Recursos'!E11</f>
        <v>0</v>
      </c>
      <c r="E13" s="44">
        <f>+F13-D13</f>
        <v>4425000</v>
      </c>
      <c r="F13" s="44">
        <f>+Receita!G40</f>
        <v>4425000</v>
      </c>
      <c r="G13" s="44">
        <f>+'Fontes de Recursos'!H7</f>
        <v>4425000</v>
      </c>
    </row>
    <row r="14" spans="2:9" ht="28.8" x14ac:dyDescent="0.3">
      <c r="B14" s="1"/>
      <c r="C14" s="3" t="s">
        <v>203</v>
      </c>
      <c r="D14" s="44"/>
      <c r="E14" s="44"/>
      <c r="F14" s="44"/>
      <c r="G14" s="44"/>
    </row>
    <row r="15" spans="2:9" x14ac:dyDescent="0.3">
      <c r="B15" s="1"/>
      <c r="C15" s="3"/>
      <c r="D15" s="44"/>
      <c r="E15" s="44"/>
      <c r="F15" s="44"/>
      <c r="G15" s="44"/>
    </row>
    <row r="16" spans="2:9" x14ac:dyDescent="0.3">
      <c r="B16" s="132" t="s">
        <v>34</v>
      </c>
      <c r="C16" s="133"/>
      <c r="D16" s="42">
        <f t="shared" ref="D16:F16" si="3">+D8+D4+D12</f>
        <v>48558735.280000001</v>
      </c>
      <c r="E16" s="42">
        <f t="shared" si="3"/>
        <v>9755484.1999999937</v>
      </c>
      <c r="F16" s="42">
        <f t="shared" si="3"/>
        <v>58314219.479999997</v>
      </c>
      <c r="G16" s="42">
        <f>+G8+G4+G12</f>
        <v>58314219.479999997</v>
      </c>
    </row>
    <row r="17" spans="3:3" x14ac:dyDescent="0.3">
      <c r="C17" s="37"/>
    </row>
    <row r="18" spans="3:3" x14ac:dyDescent="0.3">
      <c r="C18" s="12"/>
    </row>
  </sheetData>
  <mergeCells count="1">
    <mergeCell ref="B16:C1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3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R72"/>
  <sheetViews>
    <sheetView zoomScale="30" zoomScaleNormal="30" workbookViewId="0">
      <selection activeCell="N30" sqref="N30"/>
    </sheetView>
  </sheetViews>
  <sheetFormatPr defaultColWidth="8.88671875" defaultRowHeight="14.4" x14ac:dyDescent="0.3"/>
  <cols>
    <col min="1" max="1" width="3.44140625" customWidth="1"/>
    <col min="2" max="2" width="10.33203125" customWidth="1"/>
    <col min="3" max="3" width="12.88671875" customWidth="1"/>
    <col min="4" max="4" width="15.109375" customWidth="1"/>
    <col min="5" max="5" width="75.109375" customWidth="1"/>
    <col min="6" max="6" width="6.33203125" bestFit="1" customWidth="1"/>
    <col min="7" max="7" width="23.5546875" customWidth="1"/>
    <col min="8" max="8" width="18.88671875" customWidth="1"/>
    <col min="9" max="9" width="26.33203125" customWidth="1"/>
    <col min="10" max="10" width="22.33203125" customWidth="1"/>
    <col min="11" max="11" width="15.109375" customWidth="1"/>
    <col min="12" max="12" width="15.88671875" bestFit="1" customWidth="1"/>
    <col min="13" max="13" width="16.33203125" customWidth="1"/>
    <col min="14" max="14" width="17.44140625" bestFit="1" customWidth="1"/>
    <col min="15" max="15" width="13.33203125" bestFit="1" customWidth="1"/>
    <col min="18" max="18" width="16.88671875" bestFit="1" customWidth="1"/>
  </cols>
  <sheetData>
    <row r="3" spans="2:15" x14ac:dyDescent="0.3">
      <c r="B3" s="126" t="s">
        <v>182</v>
      </c>
      <c r="C3" s="126"/>
      <c r="D3" s="126"/>
      <c r="E3" s="126"/>
      <c r="F3" s="126"/>
      <c r="G3" s="126"/>
      <c r="H3" s="126"/>
      <c r="I3" s="126"/>
      <c r="J3" s="126"/>
      <c r="K3" s="104"/>
    </row>
    <row r="4" spans="2:15" ht="18" x14ac:dyDescent="0.35">
      <c r="B4" s="135" t="s">
        <v>214</v>
      </c>
      <c r="C4" s="135"/>
      <c r="D4" s="135"/>
      <c r="E4" s="135"/>
      <c r="F4" s="135"/>
      <c r="G4" s="135"/>
      <c r="H4" s="135"/>
      <c r="I4" s="135"/>
      <c r="J4" s="135"/>
      <c r="K4" s="106"/>
    </row>
    <row r="5" spans="2:15" ht="89.25" customHeight="1" x14ac:dyDescent="0.3">
      <c r="B5" s="2" t="s">
        <v>30</v>
      </c>
      <c r="C5" s="2" t="s">
        <v>31</v>
      </c>
      <c r="D5" s="2" t="s">
        <v>69</v>
      </c>
      <c r="E5" s="2" t="s">
        <v>65</v>
      </c>
      <c r="F5" s="2" t="s">
        <v>101</v>
      </c>
      <c r="G5" s="2" t="s">
        <v>191</v>
      </c>
      <c r="H5" s="2" t="s">
        <v>186</v>
      </c>
      <c r="I5" s="2" t="s">
        <v>211</v>
      </c>
      <c r="J5" s="2" t="s">
        <v>168</v>
      </c>
      <c r="K5" s="58"/>
    </row>
    <row r="6" spans="2:15" x14ac:dyDescent="0.3">
      <c r="B6" s="15">
        <v>22</v>
      </c>
      <c r="C6" s="2">
        <v>122</v>
      </c>
      <c r="D6" s="2"/>
      <c r="E6" s="4" t="s">
        <v>32</v>
      </c>
      <c r="F6" s="2"/>
      <c r="G6" s="42">
        <f>+G8+G22</f>
        <v>26258533.27</v>
      </c>
      <c r="H6" s="42">
        <f t="shared" ref="H6:I6" si="0">+H8+H22</f>
        <v>1124645.4300000011</v>
      </c>
      <c r="I6" s="42">
        <f t="shared" si="0"/>
        <v>27383178.699999999</v>
      </c>
      <c r="J6" s="42">
        <f>+J8+J22</f>
        <v>23844238.879999999</v>
      </c>
      <c r="K6" s="107"/>
    </row>
    <row r="7" spans="2:15" x14ac:dyDescent="0.3">
      <c r="B7" s="1"/>
      <c r="C7" s="1"/>
      <c r="D7" s="1"/>
      <c r="E7" s="3"/>
      <c r="F7" s="1"/>
      <c r="G7" s="44"/>
      <c r="H7" s="44"/>
      <c r="I7" s="44"/>
      <c r="J7" s="44"/>
      <c r="K7" s="108"/>
    </row>
    <row r="8" spans="2:15" x14ac:dyDescent="0.3">
      <c r="B8" s="1"/>
      <c r="C8" s="1"/>
      <c r="D8" s="1" t="s">
        <v>67</v>
      </c>
      <c r="E8" s="4" t="s">
        <v>96</v>
      </c>
      <c r="F8" s="1"/>
      <c r="G8" s="42">
        <f>+G10+G12</f>
        <v>25148533.27</v>
      </c>
      <c r="H8" s="42">
        <f>+I8-G8</f>
        <v>377863.03000000119</v>
      </c>
      <c r="I8" s="42">
        <f t="shared" ref="I8" si="1">+I10+I12</f>
        <v>25526396.300000001</v>
      </c>
      <c r="J8" s="42">
        <f>+J10+J12</f>
        <v>22420146.059999999</v>
      </c>
      <c r="K8" s="107"/>
      <c r="M8" s="82"/>
    </row>
    <row r="9" spans="2:15" x14ac:dyDescent="0.3">
      <c r="B9" s="1"/>
      <c r="C9" s="1"/>
      <c r="D9" s="1"/>
      <c r="E9" s="3"/>
      <c r="F9" s="1"/>
      <c r="G9" s="44"/>
      <c r="H9" s="44"/>
      <c r="I9" s="44"/>
      <c r="J9" s="44"/>
      <c r="K9" s="108"/>
    </row>
    <row r="10" spans="2:15" x14ac:dyDescent="0.3">
      <c r="B10" s="1"/>
      <c r="C10" s="1"/>
      <c r="D10" s="1" t="s">
        <v>66</v>
      </c>
      <c r="E10" s="4" t="s">
        <v>97</v>
      </c>
      <c r="F10" s="2">
        <v>100</v>
      </c>
      <c r="G10" s="42">
        <v>19617654.300000001</v>
      </c>
      <c r="H10" s="55">
        <f>+I10-G10</f>
        <v>0</v>
      </c>
      <c r="I10" s="42">
        <v>19617654.300000001</v>
      </c>
      <c r="J10" s="42">
        <v>16734886.33</v>
      </c>
      <c r="K10" s="107"/>
      <c r="M10" s="82"/>
    </row>
    <row r="11" spans="2:15" x14ac:dyDescent="0.3">
      <c r="B11" s="1"/>
      <c r="C11" s="1"/>
      <c r="D11" s="1"/>
      <c r="E11" s="3"/>
      <c r="F11" s="1"/>
      <c r="G11" s="44"/>
      <c r="H11" s="44"/>
      <c r="I11" s="44"/>
      <c r="J11" s="44"/>
      <c r="K11" s="108"/>
      <c r="O11" s="37"/>
    </row>
    <row r="12" spans="2:15" x14ac:dyDescent="0.3">
      <c r="B12" s="1"/>
      <c r="C12" s="1"/>
      <c r="D12" s="1" t="s">
        <v>68</v>
      </c>
      <c r="E12" s="4" t="s">
        <v>98</v>
      </c>
      <c r="F12" s="2"/>
      <c r="G12" s="42">
        <f>SUM(G13:G20)</f>
        <v>5530878.9699999997</v>
      </c>
      <c r="H12" s="42">
        <f>SUM(H13:H20)</f>
        <v>377863.03</v>
      </c>
      <c r="I12" s="42">
        <f t="shared" ref="I12" si="2">SUM(I13:I20)</f>
        <v>5908742</v>
      </c>
      <c r="J12" s="42">
        <f>SUM(J13:J20)</f>
        <v>5685259.7299999995</v>
      </c>
      <c r="K12" s="107"/>
      <c r="L12" s="55"/>
      <c r="O12" s="55"/>
    </row>
    <row r="13" spans="2:15" x14ac:dyDescent="0.3">
      <c r="B13" s="1"/>
      <c r="C13" s="1"/>
      <c r="D13" s="1" t="s">
        <v>74</v>
      </c>
      <c r="E13" s="3" t="s">
        <v>75</v>
      </c>
      <c r="F13" s="1">
        <v>100</v>
      </c>
      <c r="G13" s="44">
        <v>195743.99999999997</v>
      </c>
      <c r="H13" s="44">
        <f>+I13-G13</f>
        <v>110274.00000000003</v>
      </c>
      <c r="I13" s="44">
        <v>306018</v>
      </c>
      <c r="J13" s="44">
        <v>457262.15</v>
      </c>
      <c r="K13" s="108"/>
      <c r="L13" s="108"/>
      <c r="M13" s="82"/>
      <c r="N13" s="55"/>
      <c r="O13" s="55"/>
    </row>
    <row r="14" spans="2:15" x14ac:dyDescent="0.3">
      <c r="B14" s="1"/>
      <c r="C14" s="1"/>
      <c r="D14" s="1" t="s">
        <v>70</v>
      </c>
      <c r="E14" s="3" t="s">
        <v>73</v>
      </c>
      <c r="F14" s="1">
        <v>100</v>
      </c>
      <c r="G14" s="44">
        <v>679524.9</v>
      </c>
      <c r="H14" s="44">
        <f t="shared" ref="H14:H19" si="3">+I14-G14</f>
        <v>34875.099999999977</v>
      </c>
      <c r="I14" s="44">
        <v>714400</v>
      </c>
      <c r="J14" s="44">
        <v>616790.9</v>
      </c>
      <c r="K14" s="108"/>
      <c r="L14" s="82"/>
      <c r="M14" s="82"/>
      <c r="O14" s="37"/>
    </row>
    <row r="15" spans="2:15" x14ac:dyDescent="0.3">
      <c r="B15" s="1"/>
      <c r="C15" s="1"/>
      <c r="D15" s="1" t="s">
        <v>76</v>
      </c>
      <c r="E15" s="3" t="s">
        <v>77</v>
      </c>
      <c r="F15" s="1">
        <v>100</v>
      </c>
      <c r="G15" s="44">
        <v>456735.99999999988</v>
      </c>
      <c r="H15" s="44">
        <f t="shared" si="3"/>
        <v>257307.00000000012</v>
      </c>
      <c r="I15" s="44">
        <v>714043</v>
      </c>
      <c r="J15" s="44">
        <v>651435.41</v>
      </c>
      <c r="K15" s="108"/>
      <c r="M15" s="82"/>
    </row>
    <row r="16" spans="2:15" x14ac:dyDescent="0.3">
      <c r="B16" s="1"/>
      <c r="C16" s="1"/>
      <c r="D16" s="1" t="s">
        <v>71</v>
      </c>
      <c r="E16" s="3" t="s">
        <v>72</v>
      </c>
      <c r="F16" s="1">
        <v>100</v>
      </c>
      <c r="G16" s="44">
        <v>768561</v>
      </c>
      <c r="H16" s="44">
        <f t="shared" si="3"/>
        <v>-49851</v>
      </c>
      <c r="I16" s="44">
        <v>718710</v>
      </c>
      <c r="J16" s="44">
        <v>599770.68999999994</v>
      </c>
      <c r="K16" s="108"/>
      <c r="M16" s="82"/>
    </row>
    <row r="17" spans="2:14" x14ac:dyDescent="0.3">
      <c r="B17" s="1"/>
      <c r="C17" s="1"/>
      <c r="D17" s="1" t="s">
        <v>78</v>
      </c>
      <c r="E17" s="3" t="s">
        <v>85</v>
      </c>
      <c r="F17" s="1">
        <v>100</v>
      </c>
      <c r="G17" s="44">
        <v>1417050.75</v>
      </c>
      <c r="H17" s="44">
        <f t="shared" si="3"/>
        <v>277063.25</v>
      </c>
      <c r="I17" s="44">
        <v>1694114</v>
      </c>
      <c r="J17" s="44">
        <v>1490324.82</v>
      </c>
      <c r="K17" s="108"/>
      <c r="M17" s="82"/>
    </row>
    <row r="18" spans="2:14" x14ac:dyDescent="0.3">
      <c r="B18" s="1"/>
      <c r="C18" s="1"/>
      <c r="D18" s="1" t="s">
        <v>79</v>
      </c>
      <c r="E18" s="3" t="s">
        <v>80</v>
      </c>
      <c r="F18" s="1">
        <v>100</v>
      </c>
      <c r="G18" s="44">
        <v>1326502.32</v>
      </c>
      <c r="H18" s="44">
        <f t="shared" si="3"/>
        <v>-282915.32000000007</v>
      </c>
      <c r="I18" s="44">
        <v>1043587</v>
      </c>
      <c r="J18" s="44">
        <v>1018311.72</v>
      </c>
      <c r="K18" s="108"/>
      <c r="M18" s="82"/>
    </row>
    <row r="19" spans="2:14" x14ac:dyDescent="0.3">
      <c r="B19" s="1"/>
      <c r="C19" s="1"/>
      <c r="D19" s="1" t="s">
        <v>81</v>
      </c>
      <c r="E19" s="3" t="s">
        <v>82</v>
      </c>
      <c r="F19" s="1">
        <v>100</v>
      </c>
      <c r="G19" s="44">
        <v>686760</v>
      </c>
      <c r="H19" s="44">
        <f t="shared" si="3"/>
        <v>31110</v>
      </c>
      <c r="I19" s="44">
        <v>717870</v>
      </c>
      <c r="J19" s="44">
        <v>851364.04</v>
      </c>
      <c r="K19" s="108"/>
      <c r="M19" s="82"/>
    </row>
    <row r="20" spans="2:14" x14ac:dyDescent="0.3">
      <c r="B20" s="1"/>
      <c r="C20" s="1"/>
      <c r="D20" s="1" t="s">
        <v>83</v>
      </c>
      <c r="E20" s="3" t="s">
        <v>84</v>
      </c>
      <c r="F20" s="1"/>
      <c r="G20" s="44"/>
      <c r="H20" s="44"/>
      <c r="I20" s="44"/>
      <c r="J20" s="44"/>
      <c r="K20" s="108"/>
    </row>
    <row r="21" spans="2:14" x14ac:dyDescent="0.3">
      <c r="B21" s="1"/>
      <c r="C21" s="1"/>
      <c r="D21" s="1"/>
      <c r="E21" s="3"/>
      <c r="F21" s="1"/>
      <c r="G21" s="44"/>
      <c r="H21" s="44"/>
      <c r="I21" s="44"/>
      <c r="J21" s="44"/>
      <c r="K21" s="108"/>
    </row>
    <row r="22" spans="2:14" x14ac:dyDescent="0.3">
      <c r="B22" s="1"/>
      <c r="C22" s="1"/>
      <c r="D22" s="1" t="s">
        <v>86</v>
      </c>
      <c r="E22" s="4" t="s">
        <v>87</v>
      </c>
      <c r="F22" s="2"/>
      <c r="G22" s="42">
        <f>+G24</f>
        <v>1110000</v>
      </c>
      <c r="H22" s="42">
        <f t="shared" ref="H22:I22" si="4">+H24</f>
        <v>746782.39999999991</v>
      </c>
      <c r="I22" s="42">
        <f t="shared" si="4"/>
        <v>1856782.4</v>
      </c>
      <c r="J22" s="42">
        <f>+J24</f>
        <v>1424092.82</v>
      </c>
      <c r="K22" s="107"/>
      <c r="M22" s="82"/>
      <c r="N22" s="82"/>
    </row>
    <row r="23" spans="2:14" x14ac:dyDescent="0.3">
      <c r="B23" s="1"/>
      <c r="C23" s="1"/>
      <c r="D23" s="1"/>
      <c r="E23" s="3"/>
      <c r="F23" s="1"/>
      <c r="G23" s="44"/>
      <c r="H23" s="44"/>
      <c r="I23" s="44"/>
      <c r="J23" s="44"/>
      <c r="K23" s="108"/>
    </row>
    <row r="24" spans="2:14" x14ac:dyDescent="0.3">
      <c r="B24" s="1"/>
      <c r="C24" s="1"/>
      <c r="D24" s="1" t="s">
        <v>88</v>
      </c>
      <c r="E24" s="4" t="s">
        <v>89</v>
      </c>
      <c r="F24" s="2"/>
      <c r="G24" s="42">
        <f>SUM(G25:G28)</f>
        <v>1110000</v>
      </c>
      <c r="H24" s="42">
        <f>+I24-G24</f>
        <v>746782.39999999991</v>
      </c>
      <c r="I24" s="42">
        <f t="shared" ref="I24:J24" si="5">SUM(I25:I28)</f>
        <v>1856782.4</v>
      </c>
      <c r="J24" s="42">
        <f t="shared" si="5"/>
        <v>1424092.82</v>
      </c>
      <c r="K24" s="119"/>
    </row>
    <row r="25" spans="2:14" x14ac:dyDescent="0.3">
      <c r="B25" s="1"/>
      <c r="C25" s="1"/>
      <c r="D25" s="1" t="s">
        <v>90</v>
      </c>
      <c r="E25" s="3" t="s">
        <v>91</v>
      </c>
      <c r="F25" s="1">
        <v>300</v>
      </c>
      <c r="G25" s="44"/>
      <c r="H25" s="44">
        <f t="shared" ref="H25:H27" si="6">+I25-G25</f>
        <v>301000</v>
      </c>
      <c r="I25" s="44">
        <v>301000</v>
      </c>
      <c r="J25" s="44">
        <v>273050</v>
      </c>
      <c r="K25" s="110"/>
    </row>
    <row r="26" spans="2:14" x14ac:dyDescent="0.3">
      <c r="B26" s="1"/>
      <c r="C26" s="1"/>
      <c r="D26" s="1" t="s">
        <v>187</v>
      </c>
      <c r="E26" s="3" t="s">
        <v>188</v>
      </c>
      <c r="F26" s="1">
        <v>300</v>
      </c>
      <c r="G26" s="44"/>
      <c r="H26" s="44">
        <f t="shared" si="6"/>
        <v>188300</v>
      </c>
      <c r="I26" s="44">
        <v>188300</v>
      </c>
      <c r="J26" s="44">
        <v>188300</v>
      </c>
      <c r="K26" s="110"/>
    </row>
    <row r="27" spans="2:14" x14ac:dyDescent="0.3">
      <c r="B27" s="1"/>
      <c r="C27" s="1"/>
      <c r="D27" s="1" t="s">
        <v>92</v>
      </c>
      <c r="E27" s="3" t="s">
        <v>93</v>
      </c>
      <c r="F27" s="1">
        <v>100</v>
      </c>
      <c r="G27" s="44">
        <v>1110000</v>
      </c>
      <c r="H27" s="44">
        <f t="shared" si="6"/>
        <v>257482.39999999991</v>
      </c>
      <c r="I27" s="44">
        <v>1367482.4</v>
      </c>
      <c r="J27" s="44">
        <f>964989.17-2246.35</f>
        <v>962742.82000000007</v>
      </c>
      <c r="K27" s="110"/>
    </row>
    <row r="28" spans="2:14" x14ac:dyDescent="0.3">
      <c r="B28" s="1"/>
      <c r="C28" s="1"/>
      <c r="D28" s="1"/>
      <c r="E28" s="3"/>
      <c r="F28" s="1"/>
      <c r="G28" s="44"/>
      <c r="H28" s="44"/>
      <c r="I28" s="44"/>
      <c r="J28" s="44"/>
      <c r="K28" s="108"/>
    </row>
    <row r="29" spans="2:14" x14ac:dyDescent="0.3">
      <c r="B29" s="1"/>
      <c r="C29" s="1"/>
      <c r="D29" s="1"/>
      <c r="E29" s="3"/>
      <c r="F29" s="1"/>
      <c r="G29" s="44"/>
      <c r="H29" s="44"/>
      <c r="I29" s="44"/>
      <c r="J29" s="44"/>
      <c r="K29" s="108"/>
    </row>
    <row r="30" spans="2:14" ht="30" customHeight="1" x14ac:dyDescent="0.3">
      <c r="B30" s="2">
        <v>22</v>
      </c>
      <c r="C30" s="2">
        <v>661</v>
      </c>
      <c r="D30" s="2"/>
      <c r="E30" s="4" t="s">
        <v>190</v>
      </c>
      <c r="F30" s="2"/>
      <c r="G30" s="42">
        <f>+G32</f>
        <v>96210660.800000012</v>
      </c>
      <c r="H30" s="42">
        <f>+I30-G30</f>
        <v>10955680.409999996</v>
      </c>
      <c r="I30" s="42">
        <f t="shared" ref="I30" si="7">+I32</f>
        <v>107166341.21000001</v>
      </c>
      <c r="J30" s="42">
        <f>+J32</f>
        <v>94489476.800000012</v>
      </c>
      <c r="K30" s="119"/>
      <c r="L30" s="55"/>
      <c r="M30" s="55"/>
      <c r="N30" s="82"/>
    </row>
    <row r="31" spans="2:14" x14ac:dyDescent="0.3">
      <c r="B31" s="1"/>
      <c r="C31" s="1"/>
      <c r="D31" s="1"/>
      <c r="E31" s="6"/>
      <c r="F31" s="1"/>
      <c r="G31" s="44"/>
      <c r="H31" s="44"/>
      <c r="I31" s="44"/>
      <c r="J31" s="44"/>
      <c r="K31" s="108"/>
      <c r="L31" s="105"/>
    </row>
    <row r="32" spans="2:14" x14ac:dyDescent="0.3">
      <c r="B32" s="1"/>
      <c r="C32" s="1"/>
      <c r="D32" s="1" t="s">
        <v>67</v>
      </c>
      <c r="E32" s="4" t="s">
        <v>96</v>
      </c>
      <c r="F32" s="2"/>
      <c r="G32" s="42">
        <f>+G34+G39</f>
        <v>96210660.800000012</v>
      </c>
      <c r="H32" s="42">
        <f>+I32-G32</f>
        <v>10955680.409999996</v>
      </c>
      <c r="I32" s="42">
        <f t="shared" ref="I32" si="8">+I34+I39</f>
        <v>107166341.21000001</v>
      </c>
      <c r="J32" s="42">
        <f>+J34+J39</f>
        <v>94489476.800000012</v>
      </c>
      <c r="K32" s="114"/>
      <c r="L32" s="114"/>
      <c r="M32" s="82"/>
    </row>
    <row r="33" spans="2:18" x14ac:dyDescent="0.3">
      <c r="B33" s="1"/>
      <c r="C33" s="1"/>
      <c r="D33" s="1"/>
      <c r="E33" s="3"/>
      <c r="F33" s="1"/>
      <c r="G33" s="44"/>
      <c r="H33" s="44"/>
      <c r="I33" s="44"/>
      <c r="J33" s="44"/>
      <c r="K33" s="108"/>
    </row>
    <row r="34" spans="2:18" x14ac:dyDescent="0.3">
      <c r="B34" s="1"/>
      <c r="C34" s="1"/>
      <c r="D34" s="1" t="s">
        <v>66</v>
      </c>
      <c r="E34" s="4" t="s">
        <v>97</v>
      </c>
      <c r="F34" s="2"/>
      <c r="G34" s="42">
        <f>+G36+G37</f>
        <v>18557671</v>
      </c>
      <c r="H34" s="42">
        <f>+I34-G34</f>
        <v>0.21000000089406967</v>
      </c>
      <c r="I34" s="42">
        <f t="shared" ref="I34" si="9">+I36+I37</f>
        <v>18557671.210000001</v>
      </c>
      <c r="J34" s="42">
        <f>+J36+J37</f>
        <v>17197259.010000002</v>
      </c>
      <c r="K34" s="111"/>
    </row>
    <row r="35" spans="2:18" x14ac:dyDescent="0.3">
      <c r="B35" s="1"/>
      <c r="C35" s="1"/>
      <c r="D35" s="1"/>
      <c r="E35" s="3"/>
      <c r="F35" s="1"/>
      <c r="G35" s="44"/>
      <c r="H35" s="44"/>
      <c r="I35" s="44"/>
      <c r="J35" s="44"/>
      <c r="K35" s="108"/>
      <c r="M35" s="55"/>
    </row>
    <row r="36" spans="2:18" x14ac:dyDescent="0.3">
      <c r="B36" s="1"/>
      <c r="C36" s="1"/>
      <c r="D36" s="1" t="s">
        <v>66</v>
      </c>
      <c r="E36" s="3" t="s">
        <v>97</v>
      </c>
      <c r="F36" s="1">
        <v>300</v>
      </c>
      <c r="G36" s="44">
        <v>12978786</v>
      </c>
      <c r="H36" s="44">
        <f>+I36-G36</f>
        <v>4485482.2100000009</v>
      </c>
      <c r="I36" s="44">
        <v>17464268.210000001</v>
      </c>
      <c r="J36" s="44">
        <v>17197259.010000002</v>
      </c>
      <c r="K36" s="108"/>
      <c r="M36" s="105"/>
    </row>
    <row r="37" spans="2:18" x14ac:dyDescent="0.3">
      <c r="B37" s="1"/>
      <c r="C37" s="1"/>
      <c r="D37" s="1" t="s">
        <v>66</v>
      </c>
      <c r="E37" s="3" t="s">
        <v>97</v>
      </c>
      <c r="F37" s="1">
        <v>100</v>
      </c>
      <c r="G37" s="57">
        <v>5578885</v>
      </c>
      <c r="H37" s="44">
        <f>+I37-G37</f>
        <v>-4485482</v>
      </c>
      <c r="I37" s="44">
        <v>1093403</v>
      </c>
      <c r="J37" s="57"/>
      <c r="K37" s="108"/>
    </row>
    <row r="38" spans="2:18" x14ac:dyDescent="0.3">
      <c r="B38" s="1"/>
      <c r="C38" s="1"/>
      <c r="D38" s="1"/>
      <c r="E38" s="3"/>
      <c r="F38" s="53"/>
      <c r="G38" s="54"/>
      <c r="H38" s="54"/>
      <c r="I38" s="54"/>
      <c r="J38" s="54"/>
      <c r="K38" s="108"/>
    </row>
    <row r="39" spans="2:18" x14ac:dyDescent="0.3">
      <c r="B39" s="1"/>
      <c r="C39" s="1"/>
      <c r="D39" s="1" t="s">
        <v>68</v>
      </c>
      <c r="E39" s="4" t="s">
        <v>98</v>
      </c>
      <c r="F39" s="2"/>
      <c r="G39" s="90">
        <f>SUM(G40:G52)</f>
        <v>77652989.800000012</v>
      </c>
      <c r="H39" s="90">
        <f>+I39-G39</f>
        <v>10955680.199999988</v>
      </c>
      <c r="I39" s="90">
        <f>SUM(I40:I52)</f>
        <v>88608670</v>
      </c>
      <c r="J39" s="90">
        <f>SUM(J40:J52)</f>
        <v>77292217.790000007</v>
      </c>
      <c r="K39" s="107"/>
      <c r="L39" s="107"/>
      <c r="M39" s="82"/>
      <c r="R39" s="67"/>
    </row>
    <row r="40" spans="2:18" x14ac:dyDescent="0.3">
      <c r="B40" s="1"/>
      <c r="C40" s="1"/>
      <c r="D40" s="1" t="s">
        <v>74</v>
      </c>
      <c r="E40" s="3" t="s">
        <v>75</v>
      </c>
      <c r="F40" s="1">
        <v>100</v>
      </c>
      <c r="G40" s="44">
        <v>323853</v>
      </c>
      <c r="H40" s="44">
        <f>+I40-G40</f>
        <v>438347.6</v>
      </c>
      <c r="I40" s="44">
        <v>762200.6</v>
      </c>
      <c r="J40" s="44">
        <v>1053552.6199999999</v>
      </c>
      <c r="K40" s="108"/>
      <c r="L40" s="108"/>
      <c r="M40" s="82"/>
      <c r="N40" s="55"/>
    </row>
    <row r="41" spans="2:18" x14ac:dyDescent="0.3">
      <c r="B41" s="1"/>
      <c r="C41" s="1"/>
      <c r="D41" s="1" t="s">
        <v>70</v>
      </c>
      <c r="E41" s="3" t="s">
        <v>73</v>
      </c>
      <c r="F41" s="1">
        <v>100</v>
      </c>
      <c r="G41" s="44">
        <v>1830557.9099999997</v>
      </c>
      <c r="H41" s="44">
        <f t="shared" ref="H41:H51" si="10">+I41-G41</f>
        <v>143705.09000000032</v>
      </c>
      <c r="I41" s="44">
        <v>1974263</v>
      </c>
      <c r="J41" s="44">
        <v>1691901.93</v>
      </c>
      <c r="K41" s="108"/>
    </row>
    <row r="42" spans="2:18" x14ac:dyDescent="0.3">
      <c r="B42" s="1"/>
      <c r="C42" s="1"/>
      <c r="D42" s="1" t="s">
        <v>102</v>
      </c>
      <c r="E42" s="3" t="s">
        <v>103</v>
      </c>
      <c r="F42" s="1">
        <v>100</v>
      </c>
      <c r="G42" s="44">
        <v>10900000</v>
      </c>
      <c r="H42" s="44">
        <f t="shared" si="10"/>
        <v>-825000</v>
      </c>
      <c r="I42" s="44">
        <v>10075000</v>
      </c>
      <c r="J42" s="44">
        <v>9925000</v>
      </c>
      <c r="K42" s="112"/>
    </row>
    <row r="43" spans="2:18" x14ac:dyDescent="0.3">
      <c r="B43" s="1"/>
      <c r="C43" s="1"/>
      <c r="D43" s="1" t="s">
        <v>76</v>
      </c>
      <c r="E43" s="3" t="s">
        <v>77</v>
      </c>
      <c r="F43" s="1">
        <v>100</v>
      </c>
      <c r="G43" s="44">
        <v>755657</v>
      </c>
      <c r="H43" s="44">
        <f t="shared" si="10"/>
        <v>1022810.3999999999</v>
      </c>
      <c r="I43" s="44">
        <v>1778467.4</v>
      </c>
      <c r="J43" s="44">
        <v>1458531.1099999996</v>
      </c>
      <c r="K43" s="108"/>
    </row>
    <row r="44" spans="2:18" x14ac:dyDescent="0.3">
      <c r="B44" s="1"/>
      <c r="C44" s="1"/>
      <c r="D44" s="1" t="s">
        <v>71</v>
      </c>
      <c r="E44" s="3" t="s">
        <v>72</v>
      </c>
      <c r="F44" s="1">
        <v>100</v>
      </c>
      <c r="G44" s="44">
        <v>33042744.990000002</v>
      </c>
      <c r="H44" s="44">
        <f t="shared" si="10"/>
        <v>4975248.0099999979</v>
      </c>
      <c r="I44" s="44">
        <v>38017993</v>
      </c>
      <c r="J44" s="44">
        <v>36605821.710000001</v>
      </c>
      <c r="K44" s="108"/>
      <c r="L44" s="108"/>
      <c r="M44" s="82"/>
    </row>
    <row r="45" spans="2:18" x14ac:dyDescent="0.3">
      <c r="B45" s="1"/>
      <c r="C45" s="1"/>
      <c r="D45" s="1" t="s">
        <v>71</v>
      </c>
      <c r="E45" s="3" t="s">
        <v>72</v>
      </c>
      <c r="F45" s="13">
        <v>150</v>
      </c>
      <c r="G45" s="44">
        <v>5513459</v>
      </c>
      <c r="H45" s="44">
        <f>+I45-G45</f>
        <v>0</v>
      </c>
      <c r="I45" s="44">
        <v>5513459</v>
      </c>
      <c r="J45" s="46">
        <v>3792413.1500000004</v>
      </c>
      <c r="K45" s="109"/>
    </row>
    <row r="46" spans="2:18" x14ac:dyDescent="0.3">
      <c r="B46" s="1"/>
      <c r="C46" s="1"/>
      <c r="D46" s="1" t="s">
        <v>71</v>
      </c>
      <c r="E46" s="3" t="s">
        <v>72</v>
      </c>
      <c r="F46" s="13">
        <v>350</v>
      </c>
      <c r="G46" s="44">
        <v>5672949.0799999991</v>
      </c>
      <c r="H46" s="44">
        <f t="shared" si="10"/>
        <v>355702.92000000086</v>
      </c>
      <c r="I46" s="44">
        <v>6028652</v>
      </c>
      <c r="J46" s="46">
        <v>5208399.33</v>
      </c>
      <c r="K46" s="109"/>
    </row>
    <row r="47" spans="2:18" x14ac:dyDescent="0.3">
      <c r="B47" s="1"/>
      <c r="C47" s="1"/>
      <c r="D47" s="1" t="s">
        <v>71</v>
      </c>
      <c r="E47" s="3" t="s">
        <v>72</v>
      </c>
      <c r="F47" s="13">
        <v>120</v>
      </c>
      <c r="G47" s="44"/>
      <c r="H47" s="64">
        <f t="shared" si="10"/>
        <v>2324842</v>
      </c>
      <c r="I47" s="44">
        <v>2324842</v>
      </c>
      <c r="J47" s="46"/>
      <c r="K47" s="109"/>
    </row>
    <row r="48" spans="2:18" x14ac:dyDescent="0.3">
      <c r="B48" s="1"/>
      <c r="C48" s="1"/>
      <c r="D48" s="1" t="s">
        <v>71</v>
      </c>
      <c r="E48" s="3" t="s">
        <v>72</v>
      </c>
      <c r="F48" s="13">
        <v>320</v>
      </c>
      <c r="G48" s="44"/>
      <c r="H48" s="64">
        <f t="shared" si="10"/>
        <v>4425000</v>
      </c>
      <c r="I48" s="44">
        <v>4425000</v>
      </c>
      <c r="J48" s="46">
        <f>242658.22+4570.38</f>
        <v>247228.6</v>
      </c>
      <c r="K48" s="109"/>
    </row>
    <row r="49" spans="2:14" x14ac:dyDescent="0.3">
      <c r="B49" s="1"/>
      <c r="C49" s="1"/>
      <c r="D49" s="1" t="s">
        <v>71</v>
      </c>
      <c r="E49" s="3" t="s">
        <v>85</v>
      </c>
      <c r="F49" s="13">
        <v>100</v>
      </c>
      <c r="G49" s="44">
        <v>5406451.7400000002</v>
      </c>
      <c r="H49" s="44">
        <f t="shared" si="10"/>
        <v>672619.25999999978</v>
      </c>
      <c r="I49" s="44">
        <v>6079071</v>
      </c>
      <c r="J49" s="46">
        <v>5688451.2200000007</v>
      </c>
      <c r="K49" s="112"/>
      <c r="M49" s="82"/>
    </row>
    <row r="50" spans="2:14" x14ac:dyDescent="0.3">
      <c r="B50" s="1"/>
      <c r="C50" s="1"/>
      <c r="D50" s="1" t="s">
        <v>71</v>
      </c>
      <c r="E50" s="3" t="s">
        <v>80</v>
      </c>
      <c r="F50" s="1">
        <v>100</v>
      </c>
      <c r="G50" s="44">
        <v>12604877.08</v>
      </c>
      <c r="H50" s="44">
        <f t="shared" si="10"/>
        <v>-2870185.08</v>
      </c>
      <c r="I50" s="44">
        <v>9734692</v>
      </c>
      <c r="J50" s="46">
        <v>9444140.5700000003</v>
      </c>
      <c r="K50" s="112"/>
      <c r="M50" s="82"/>
    </row>
    <row r="51" spans="2:14" x14ac:dyDescent="0.3">
      <c r="B51" s="1"/>
      <c r="C51" s="1"/>
      <c r="D51" s="1" t="s">
        <v>78</v>
      </c>
      <c r="E51" s="3" t="s">
        <v>82</v>
      </c>
      <c r="F51" s="1">
        <v>100</v>
      </c>
      <c r="G51" s="44">
        <v>1602440</v>
      </c>
      <c r="H51" s="44">
        <f t="shared" si="10"/>
        <v>292590</v>
      </c>
      <c r="I51" s="44">
        <v>1895030</v>
      </c>
      <c r="J51" s="44">
        <v>2176777.5499999998</v>
      </c>
      <c r="K51" s="108"/>
      <c r="M51" s="82"/>
    </row>
    <row r="52" spans="2:14" x14ac:dyDescent="0.3">
      <c r="B52" s="1"/>
      <c r="C52" s="1"/>
      <c r="D52" s="1" t="s">
        <v>83</v>
      </c>
      <c r="E52" s="3" t="s">
        <v>84</v>
      </c>
      <c r="F52" s="1"/>
      <c r="G52" s="44"/>
      <c r="H52" s="44"/>
      <c r="I52" s="44"/>
      <c r="J52" s="44"/>
      <c r="K52" s="108"/>
    </row>
    <row r="53" spans="2:14" x14ac:dyDescent="0.3">
      <c r="B53" s="1"/>
      <c r="C53" s="1"/>
      <c r="D53" s="1"/>
      <c r="E53" s="3"/>
      <c r="F53" s="1"/>
      <c r="G53" s="44"/>
      <c r="H53" s="44"/>
      <c r="I53" s="44"/>
      <c r="J53" s="44"/>
      <c r="K53" s="108"/>
      <c r="L53" s="8"/>
      <c r="M53" s="8"/>
      <c r="N53" s="8"/>
    </row>
    <row r="54" spans="2:14" x14ac:dyDescent="0.3">
      <c r="B54" s="1"/>
      <c r="C54" s="1"/>
      <c r="D54" s="13" t="s">
        <v>86</v>
      </c>
      <c r="E54" s="89" t="s">
        <v>87</v>
      </c>
      <c r="F54" s="15"/>
      <c r="G54" s="42">
        <f>+G56</f>
        <v>0</v>
      </c>
      <c r="H54" s="42">
        <f t="shared" ref="H54:I54" si="11">+H56</f>
        <v>0</v>
      </c>
      <c r="I54" s="42">
        <f t="shared" si="11"/>
        <v>0</v>
      </c>
      <c r="J54" s="42">
        <f>+J56</f>
        <v>0</v>
      </c>
      <c r="K54" s="107"/>
    </row>
    <row r="55" spans="2:14" x14ac:dyDescent="0.3">
      <c r="B55" s="1"/>
      <c r="C55" s="1"/>
      <c r="D55" s="13"/>
      <c r="E55" s="14"/>
      <c r="F55" s="13"/>
      <c r="G55" s="44"/>
      <c r="H55" s="44"/>
      <c r="I55" s="44"/>
      <c r="J55" s="44"/>
      <c r="K55" s="108"/>
    </row>
    <row r="56" spans="2:14" x14ac:dyDescent="0.3">
      <c r="B56" s="1"/>
      <c r="C56" s="1"/>
      <c r="D56" s="13" t="s">
        <v>88</v>
      </c>
      <c r="E56" s="89" t="s">
        <v>89</v>
      </c>
      <c r="F56" s="15"/>
      <c r="G56" s="42">
        <f>+G57+G58+G59</f>
        <v>0</v>
      </c>
      <c r="H56" s="42">
        <f t="shared" ref="H56:I56" si="12">+H57+H58+H59</f>
        <v>0</v>
      </c>
      <c r="I56" s="42">
        <f t="shared" si="12"/>
        <v>0</v>
      </c>
      <c r="J56" s="42">
        <f>+J57+J58+J59</f>
        <v>0</v>
      </c>
      <c r="K56" s="107"/>
    </row>
    <row r="57" spans="2:14" x14ac:dyDescent="0.3">
      <c r="B57" s="1"/>
      <c r="C57" s="1"/>
      <c r="D57" s="13" t="s">
        <v>90</v>
      </c>
      <c r="E57" s="14" t="s">
        <v>91</v>
      </c>
      <c r="F57" s="13"/>
      <c r="G57" s="44"/>
      <c r="H57" s="44"/>
      <c r="I57" s="44"/>
      <c r="J57" s="44"/>
      <c r="K57" s="108"/>
    </row>
    <row r="58" spans="2:14" x14ac:dyDescent="0.3">
      <c r="B58" s="1"/>
      <c r="C58" s="1"/>
      <c r="D58" s="13" t="s">
        <v>92</v>
      </c>
      <c r="E58" s="14" t="s">
        <v>93</v>
      </c>
      <c r="F58" s="13"/>
      <c r="G58" s="44"/>
      <c r="H58" s="44"/>
      <c r="I58" s="44"/>
      <c r="J58" s="44"/>
      <c r="K58" s="108"/>
    </row>
    <row r="59" spans="2:14" x14ac:dyDescent="0.3">
      <c r="B59" s="1"/>
      <c r="C59" s="1"/>
      <c r="D59" s="13" t="s">
        <v>94</v>
      </c>
      <c r="E59" s="14" t="s">
        <v>95</v>
      </c>
      <c r="F59" s="13"/>
      <c r="G59" s="44"/>
      <c r="H59" s="44"/>
      <c r="I59" s="44"/>
      <c r="J59" s="44"/>
      <c r="K59" s="108"/>
    </row>
    <row r="60" spans="2:14" x14ac:dyDescent="0.3">
      <c r="B60" s="1"/>
      <c r="C60" s="1"/>
      <c r="D60" s="1"/>
      <c r="E60" s="3"/>
      <c r="F60" s="1"/>
      <c r="G60" s="44"/>
      <c r="H60" s="44"/>
      <c r="I60" s="44"/>
      <c r="J60" s="44"/>
      <c r="K60" s="108"/>
    </row>
    <row r="61" spans="2:14" x14ac:dyDescent="0.3">
      <c r="B61" s="2">
        <v>99</v>
      </c>
      <c r="C61" s="2">
        <v>999</v>
      </c>
      <c r="D61" s="2"/>
      <c r="E61" s="4" t="s">
        <v>33</v>
      </c>
      <c r="F61" s="2"/>
      <c r="G61" s="42">
        <f>+G63</f>
        <v>29907000</v>
      </c>
      <c r="H61" s="42">
        <f>+I61-G61</f>
        <v>0</v>
      </c>
      <c r="I61" s="42">
        <f t="shared" ref="I61" si="13">+I63</f>
        <v>29907000</v>
      </c>
      <c r="J61" s="42">
        <f>+J63</f>
        <v>0</v>
      </c>
      <c r="K61" s="107"/>
    </row>
    <row r="62" spans="2:14" x14ac:dyDescent="0.3">
      <c r="B62" s="1"/>
      <c r="C62" s="1"/>
      <c r="D62" s="1"/>
      <c r="E62" s="3"/>
      <c r="F62" s="1"/>
      <c r="G62" s="44"/>
      <c r="H62" s="44"/>
      <c r="I62" s="44"/>
      <c r="J62" s="44"/>
      <c r="K62" s="108"/>
    </row>
    <row r="63" spans="2:14" x14ac:dyDescent="0.3">
      <c r="B63" s="1"/>
      <c r="C63" s="1"/>
      <c r="D63" s="1" t="s">
        <v>99</v>
      </c>
      <c r="E63" s="3" t="s">
        <v>28</v>
      </c>
      <c r="F63" s="1">
        <v>300</v>
      </c>
      <c r="G63" s="44">
        <v>29907000</v>
      </c>
      <c r="H63" s="44">
        <f>+I63-G63</f>
        <v>0</v>
      </c>
      <c r="I63" s="44">
        <v>29907000</v>
      </c>
      <c r="J63" s="44">
        <v>0</v>
      </c>
      <c r="K63" s="108"/>
    </row>
    <row r="64" spans="2:14" x14ac:dyDescent="0.3">
      <c r="B64" s="1"/>
      <c r="C64" s="1"/>
      <c r="D64" s="1"/>
      <c r="E64" s="3"/>
      <c r="F64" s="1"/>
      <c r="G64" s="44"/>
      <c r="H64" s="44"/>
      <c r="I64" s="44"/>
      <c r="J64" s="44"/>
      <c r="K64" s="108"/>
    </row>
    <row r="65" spans="2:13" x14ac:dyDescent="0.3">
      <c r="B65" s="132" t="s">
        <v>34</v>
      </c>
      <c r="C65" s="134"/>
      <c r="D65" s="134"/>
      <c r="E65" s="133"/>
      <c r="F65" s="25"/>
      <c r="G65" s="42">
        <f>+G61+G30+G6</f>
        <v>152376194.07000002</v>
      </c>
      <c r="H65" s="42">
        <f>+H61+H30+H6</f>
        <v>12080325.839999998</v>
      </c>
      <c r="I65" s="42">
        <f>+I61+I30+I6</f>
        <v>164456519.91</v>
      </c>
      <c r="J65" s="42">
        <f>+J61+J30+J6</f>
        <v>118333715.68000001</v>
      </c>
      <c r="K65" s="107"/>
      <c r="M65" s="55"/>
    </row>
    <row r="67" spans="2:13" x14ac:dyDescent="0.3">
      <c r="J67" s="55">
        <f>+J65-Ações!J47</f>
        <v>0</v>
      </c>
      <c r="K67" s="55"/>
    </row>
    <row r="68" spans="2:13" x14ac:dyDescent="0.3">
      <c r="J68" s="55"/>
      <c r="K68" s="55"/>
    </row>
    <row r="69" spans="2:13" x14ac:dyDescent="0.3">
      <c r="J69" s="72"/>
      <c r="K69" s="72"/>
    </row>
    <row r="70" spans="2:13" x14ac:dyDescent="0.3">
      <c r="J70" s="55"/>
      <c r="K70" s="55"/>
    </row>
    <row r="71" spans="2:13" x14ac:dyDescent="0.3">
      <c r="J71" s="55"/>
      <c r="K71" s="55"/>
    </row>
    <row r="72" spans="2:13" x14ac:dyDescent="0.3">
      <c r="J72" s="55"/>
      <c r="K72" s="55"/>
    </row>
  </sheetData>
  <mergeCells count="3">
    <mergeCell ref="B65:E65"/>
    <mergeCell ref="B4:J4"/>
    <mergeCell ref="B3:J3"/>
  </mergeCells>
  <phoneticPr fontId="2" type="noConversion"/>
  <printOptions horizontalCentered="1" verticalCentered="1"/>
  <pageMargins left="0" right="0.39370078740157483" top="0.39370078740157483" bottom="0.78740157480314965" header="3.2677165354330708" footer="0.39370078740157483"/>
  <pageSetup paperSize="3" scale="65" orientation="landscape" r:id="rId1"/>
  <ignoredErrors>
    <ignoredError sqref="H24 H34 H30 H32 H39 H6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B5A58-9EDE-4CC6-A480-EEC167AAD0FF}">
  <dimension ref="B4:D12"/>
  <sheetViews>
    <sheetView zoomScale="120" zoomScaleNormal="120" workbookViewId="0">
      <selection activeCell="N30" sqref="N30"/>
    </sheetView>
  </sheetViews>
  <sheetFormatPr defaultColWidth="9.109375" defaultRowHeight="14.4" x14ac:dyDescent="0.3"/>
  <cols>
    <col min="1" max="1" width="12.44140625" customWidth="1"/>
    <col min="2" max="2" width="28.33203125" customWidth="1"/>
    <col min="3" max="3" width="20.6640625" style="61" customWidth="1"/>
    <col min="4" max="4" width="20.6640625" customWidth="1"/>
  </cols>
  <sheetData>
    <row r="4" spans="2:4" x14ac:dyDescent="0.3">
      <c r="B4" s="128" t="s">
        <v>180</v>
      </c>
      <c r="C4" s="128"/>
      <c r="D4" s="128"/>
    </row>
    <row r="5" spans="2:4" ht="18" x14ac:dyDescent="0.3">
      <c r="B5" s="129" t="s">
        <v>181</v>
      </c>
      <c r="C5" s="129"/>
      <c r="D5" s="129"/>
    </row>
    <row r="6" spans="2:4" x14ac:dyDescent="0.3">
      <c r="B6" s="65" t="s">
        <v>177</v>
      </c>
      <c r="C6" s="65" t="s">
        <v>169</v>
      </c>
      <c r="D6" s="65" t="s">
        <v>178</v>
      </c>
    </row>
    <row r="7" spans="2:4" x14ac:dyDescent="0.3">
      <c r="B7" s="19" t="s">
        <v>179</v>
      </c>
      <c r="C7" s="44"/>
      <c r="D7" s="44"/>
    </row>
    <row r="8" spans="2:4" x14ac:dyDescent="0.3">
      <c r="B8" s="19">
        <v>2018</v>
      </c>
      <c r="C8" s="44">
        <v>29084218.550000001</v>
      </c>
      <c r="D8" s="44"/>
    </row>
    <row r="9" spans="2:4" x14ac:dyDescent="0.3">
      <c r="B9" s="19">
        <v>2019</v>
      </c>
      <c r="C9" s="44">
        <v>3259551.94</v>
      </c>
      <c r="D9" s="44"/>
    </row>
    <row r="10" spans="2:4" x14ac:dyDescent="0.3">
      <c r="B10" s="19">
        <v>2020</v>
      </c>
      <c r="C10" s="44"/>
      <c r="D10" s="44">
        <v>-25059156.260000002</v>
      </c>
    </row>
    <row r="11" spans="2:4" x14ac:dyDescent="0.3">
      <c r="B11" s="19">
        <v>2021</v>
      </c>
      <c r="C11" s="44">
        <v>591298.37</v>
      </c>
      <c r="D11" s="44"/>
    </row>
    <row r="12" spans="2:4" x14ac:dyDescent="0.3">
      <c r="B12" s="19">
        <v>2022</v>
      </c>
      <c r="C12" s="44">
        <f>+'Receita X Despesa'!K10</f>
        <v>4217287.5699999928</v>
      </c>
      <c r="D12" s="44"/>
    </row>
  </sheetData>
  <mergeCells count="2">
    <mergeCell ref="B5:D5"/>
    <mergeCell ref="B4:D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K13"/>
  <sheetViews>
    <sheetView zoomScale="120" zoomScaleNormal="120" workbookViewId="0">
      <selection activeCell="N30" sqref="N30"/>
    </sheetView>
  </sheetViews>
  <sheetFormatPr defaultColWidth="8.88671875" defaultRowHeight="14.4" x14ac:dyDescent="0.3"/>
  <cols>
    <col min="2" max="2" width="13.109375" customWidth="1"/>
    <col min="3" max="3" width="27.44140625" customWidth="1"/>
    <col min="4" max="7" width="24.6640625" customWidth="1"/>
  </cols>
  <sheetData>
    <row r="3" spans="2:11" ht="57.6" x14ac:dyDescent="0.3">
      <c r="B3" s="2" t="s">
        <v>35</v>
      </c>
      <c r="C3" s="5" t="s">
        <v>36</v>
      </c>
      <c r="D3" s="2" t="s">
        <v>191</v>
      </c>
      <c r="E3" s="2" t="s">
        <v>186</v>
      </c>
      <c r="F3" s="2" t="s">
        <v>211</v>
      </c>
      <c r="G3" s="2" t="s">
        <v>168</v>
      </c>
    </row>
    <row r="4" spans="2:11" x14ac:dyDescent="0.3">
      <c r="B4" s="1">
        <v>1</v>
      </c>
      <c r="C4" s="6" t="s">
        <v>37</v>
      </c>
      <c r="D4" s="44">
        <f>+Despesa!G10+Despesa!G36+Despesa!G37</f>
        <v>38175325.299999997</v>
      </c>
      <c r="E4" s="44">
        <f>+F4-D4</f>
        <v>0.21000000834465027</v>
      </c>
      <c r="F4" s="44">
        <f>+Despesa!I10+Despesa!I34</f>
        <v>38175325.510000005</v>
      </c>
      <c r="G4" s="44">
        <f>+Despesa!J10+Despesa!J36+Despesa!J37</f>
        <v>33932145.340000004</v>
      </c>
      <c r="I4" s="113"/>
      <c r="K4" s="82"/>
    </row>
    <row r="5" spans="2:11" x14ac:dyDescent="0.3">
      <c r="B5" s="1">
        <v>2</v>
      </c>
      <c r="C5" s="6" t="s">
        <v>38</v>
      </c>
      <c r="D5" s="44"/>
      <c r="E5" s="44">
        <f t="shared" ref="E5:E10" si="0">+F5-D5</f>
        <v>0</v>
      </c>
      <c r="F5" s="44"/>
      <c r="G5" s="44"/>
      <c r="I5" s="113"/>
    </row>
    <row r="6" spans="2:11" x14ac:dyDescent="0.3">
      <c r="B6" s="1">
        <v>3</v>
      </c>
      <c r="C6" s="6" t="s">
        <v>39</v>
      </c>
      <c r="D6" s="44">
        <f>+Despesa!G12+Despesa!G39</f>
        <v>83183868.770000011</v>
      </c>
      <c r="E6" s="44">
        <f t="shared" si="0"/>
        <v>11333543.229999989</v>
      </c>
      <c r="F6" s="44">
        <f>+Despesa!I12+Despesa!I39</f>
        <v>94517412</v>
      </c>
      <c r="G6" s="44">
        <f>+Despesa!J12+Despesa!J39</f>
        <v>82977477.520000011</v>
      </c>
      <c r="I6" s="113"/>
    </row>
    <row r="7" spans="2:11" x14ac:dyDescent="0.3">
      <c r="B7" s="1">
        <v>4</v>
      </c>
      <c r="C7" s="6" t="s">
        <v>27</v>
      </c>
      <c r="D7" s="44">
        <f>+Despesa!G22</f>
        <v>1110000</v>
      </c>
      <c r="E7" s="44">
        <f t="shared" si="0"/>
        <v>746782.39999999991</v>
      </c>
      <c r="F7" s="44">
        <f>+Despesa!I22</f>
        <v>1856782.4</v>
      </c>
      <c r="G7" s="44">
        <f>+Despesa!J22</f>
        <v>1424092.82</v>
      </c>
      <c r="I7" s="113"/>
    </row>
    <row r="8" spans="2:11" x14ac:dyDescent="0.3">
      <c r="B8" s="1">
        <v>5</v>
      </c>
      <c r="C8" s="6" t="s">
        <v>40</v>
      </c>
      <c r="D8" s="44"/>
      <c r="E8" s="44">
        <f t="shared" si="0"/>
        <v>0</v>
      </c>
      <c r="F8" s="44"/>
      <c r="G8" s="44"/>
    </row>
    <row r="9" spans="2:11" x14ac:dyDescent="0.3">
      <c r="B9" s="1">
        <v>6</v>
      </c>
      <c r="C9" s="6" t="s">
        <v>41</v>
      </c>
      <c r="D9" s="44"/>
      <c r="E9" s="44">
        <f t="shared" si="0"/>
        <v>0</v>
      </c>
      <c r="F9" s="44"/>
      <c r="G9" s="44"/>
    </row>
    <row r="10" spans="2:11" x14ac:dyDescent="0.3">
      <c r="B10" s="1">
        <v>7</v>
      </c>
      <c r="C10" s="6" t="s">
        <v>42</v>
      </c>
      <c r="D10" s="44">
        <f>+Despesa!G61</f>
        <v>29907000</v>
      </c>
      <c r="E10" s="44">
        <f t="shared" si="0"/>
        <v>0</v>
      </c>
      <c r="F10" s="44">
        <f>+Despesa!I61</f>
        <v>29907000</v>
      </c>
      <c r="G10" s="44">
        <f>+Despesa!G73</f>
        <v>0</v>
      </c>
    </row>
    <row r="11" spans="2:11" ht="15" customHeight="1" x14ac:dyDescent="0.3">
      <c r="B11" s="130" t="s">
        <v>34</v>
      </c>
      <c r="C11" s="131"/>
      <c r="D11" s="42">
        <f>SUM(D4:D10)</f>
        <v>152376194.06999999</v>
      </c>
      <c r="E11" s="42">
        <f t="shared" ref="E11:G11" si="1">SUM(E4:E10)</f>
        <v>12080325.839999998</v>
      </c>
      <c r="F11" s="42">
        <f t="shared" si="1"/>
        <v>164456519.91</v>
      </c>
      <c r="G11" s="42">
        <f t="shared" si="1"/>
        <v>118333715.68000001</v>
      </c>
    </row>
    <row r="13" spans="2:11" x14ac:dyDescent="0.3">
      <c r="G13" s="55">
        <f>+G11-Despesa!J65</f>
        <v>0</v>
      </c>
    </row>
  </sheetData>
  <mergeCells count="1">
    <mergeCell ref="B11:C1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3"/>
  <sheetViews>
    <sheetView zoomScale="110" zoomScaleNormal="110" workbookViewId="0">
      <selection activeCell="N30" sqref="N30"/>
    </sheetView>
  </sheetViews>
  <sheetFormatPr defaultColWidth="8.88671875" defaultRowHeight="14.4" x14ac:dyDescent="0.3"/>
  <cols>
    <col min="1" max="1" width="12.109375" customWidth="1"/>
    <col min="2" max="2" width="31.88671875" customWidth="1"/>
    <col min="3" max="3" width="21.109375" customWidth="1"/>
    <col min="4" max="4" width="18.6640625" customWidth="1"/>
    <col min="5" max="5" width="24.5546875" customWidth="1"/>
    <col min="6" max="6" width="18.6640625" customWidth="1"/>
    <col min="7" max="7" width="35" bestFit="1" customWidth="1"/>
    <col min="8" max="9" width="21.109375" customWidth="1"/>
    <col min="10" max="10" width="24.109375" customWidth="1"/>
    <col min="11" max="11" width="18.6640625" bestFit="1" customWidth="1"/>
  </cols>
  <sheetData>
    <row r="2" spans="1:11" ht="21" x14ac:dyDescent="0.4">
      <c r="B2" s="140" t="s">
        <v>215</v>
      </c>
      <c r="C2" s="140"/>
      <c r="D2" s="140"/>
      <c r="E2" s="140"/>
      <c r="F2" s="140"/>
      <c r="G2" s="140"/>
      <c r="H2" s="140"/>
      <c r="I2" s="140"/>
      <c r="J2" s="140"/>
      <c r="K2" s="140"/>
    </row>
    <row r="3" spans="1:11" x14ac:dyDescent="0.3">
      <c r="B3" s="137" t="s">
        <v>43</v>
      </c>
      <c r="C3" s="138"/>
      <c r="D3" s="138"/>
      <c r="E3" s="138"/>
      <c r="F3" s="139"/>
      <c r="G3" s="136" t="s">
        <v>44</v>
      </c>
      <c r="H3" s="136"/>
      <c r="I3" s="136"/>
      <c r="J3" s="136"/>
      <c r="K3" s="136"/>
    </row>
    <row r="4" spans="1:11" ht="57.6" x14ac:dyDescent="0.3">
      <c r="B4" s="9" t="s">
        <v>45</v>
      </c>
      <c r="C4" s="9" t="s">
        <v>191</v>
      </c>
      <c r="D4" s="9" t="s">
        <v>186</v>
      </c>
      <c r="E4" s="9" t="s">
        <v>211</v>
      </c>
      <c r="F4" s="9" t="s">
        <v>185</v>
      </c>
      <c r="G4" s="9" t="s">
        <v>45</v>
      </c>
      <c r="H4" s="9" t="s">
        <v>209</v>
      </c>
      <c r="I4" s="9" t="s">
        <v>186</v>
      </c>
      <c r="J4" s="9" t="s">
        <v>211</v>
      </c>
      <c r="K4" s="9" t="s">
        <v>168</v>
      </c>
    </row>
    <row r="5" spans="1:11" x14ac:dyDescent="0.3">
      <c r="B5" s="7" t="s">
        <v>3</v>
      </c>
      <c r="C5" s="44">
        <f>+Receita!E10+Receita!E14+Receita!E20</f>
        <v>103817458.98</v>
      </c>
      <c r="D5" s="44">
        <f>+E5-C5</f>
        <v>2324842.0000000149</v>
      </c>
      <c r="E5" s="44">
        <f>+Receita!G10+Receita!G14+Receita!G20</f>
        <v>106142300.98000002</v>
      </c>
      <c r="F5" s="44">
        <f>+Receita!H8</f>
        <v>122551003.25</v>
      </c>
      <c r="G5" s="7" t="s">
        <v>46</v>
      </c>
      <c r="H5" s="44">
        <f>+Despesa!G8+Despesa!G32</f>
        <v>121359194.07000001</v>
      </c>
      <c r="I5" s="44">
        <f>+J5-H5</f>
        <v>11333543.439999998</v>
      </c>
      <c r="J5" s="44">
        <f>+Despesa!I8+Despesa!I32</f>
        <v>132692737.51000001</v>
      </c>
      <c r="K5" s="64">
        <f>+Despesa!J8+Despesa!J32</f>
        <v>116909622.86000001</v>
      </c>
    </row>
    <row r="6" spans="1:11" x14ac:dyDescent="0.3">
      <c r="A6" s="10"/>
      <c r="B6" s="7" t="s">
        <v>47</v>
      </c>
      <c r="C6" s="44"/>
      <c r="D6" s="44"/>
      <c r="E6" s="44"/>
      <c r="F6" s="44"/>
      <c r="G6" s="7" t="s">
        <v>48</v>
      </c>
      <c r="H6" s="44">
        <f>+Despesa!G22</f>
        <v>1110000</v>
      </c>
      <c r="I6" s="44">
        <f>+J6-H6</f>
        <v>746782.39999999991</v>
      </c>
      <c r="J6" s="44">
        <f>+Despesa!I22</f>
        <v>1856782.4</v>
      </c>
      <c r="K6" s="64">
        <f>+Despesa!J22</f>
        <v>1424092.82</v>
      </c>
    </row>
    <row r="7" spans="1:11" x14ac:dyDescent="0.3">
      <c r="B7" s="15" t="s">
        <v>105</v>
      </c>
      <c r="C7" s="44">
        <f>SUM(C5:C6)</f>
        <v>103817458.98</v>
      </c>
      <c r="D7" s="44">
        <f t="shared" ref="D7:E7" si="0">SUM(D5:D6)</f>
        <v>2324842.0000000149</v>
      </c>
      <c r="E7" s="44">
        <f t="shared" si="0"/>
        <v>106142300.98000002</v>
      </c>
      <c r="F7" s="44">
        <f>SUM(F5:F6)</f>
        <v>122551003.25</v>
      </c>
      <c r="G7" s="15" t="s">
        <v>105</v>
      </c>
      <c r="H7" s="44">
        <f>SUM(H5:H6)</f>
        <v>122469194.07000001</v>
      </c>
      <c r="I7" s="44">
        <f>SUM(I5:I6)</f>
        <v>12080325.839999998</v>
      </c>
      <c r="J7" s="44">
        <f t="shared" ref="J7" si="1">SUM(J5:J6)</f>
        <v>134549519.91</v>
      </c>
      <c r="K7" s="44">
        <f>SUM(K5:K6)</f>
        <v>118333715.68000001</v>
      </c>
    </row>
    <row r="8" spans="1:11" x14ac:dyDescent="0.3">
      <c r="B8" s="7" t="s">
        <v>104</v>
      </c>
      <c r="C8" s="44">
        <f>+Receita!E36+Receita!E38+Receita!E40</f>
        <v>48558735.280000001</v>
      </c>
      <c r="D8" s="44">
        <f>+E8-C8</f>
        <v>9755484.1999999955</v>
      </c>
      <c r="E8" s="44">
        <f>+Receita!G36+Receita!G38+Receita!G40</f>
        <v>58314219.479999997</v>
      </c>
      <c r="F8" s="44"/>
      <c r="G8" s="7" t="s">
        <v>106</v>
      </c>
      <c r="H8" s="44">
        <f>+Despesa!G61</f>
        <v>29907000</v>
      </c>
      <c r="I8" s="44">
        <f>+J8-H8</f>
        <v>0</v>
      </c>
      <c r="J8" s="44">
        <f>+Despesa!I61</f>
        <v>29907000</v>
      </c>
      <c r="K8" s="44">
        <f>+Despesa!G71</f>
        <v>0</v>
      </c>
    </row>
    <row r="9" spans="1:11" x14ac:dyDescent="0.3">
      <c r="B9" s="83" t="s">
        <v>34</v>
      </c>
      <c r="C9" s="57">
        <f>SUM(C7,C8)</f>
        <v>152376194.25999999</v>
      </c>
      <c r="D9" s="57">
        <f t="shared" ref="D9:E9" si="2">SUM(D7,D8)</f>
        <v>12080326.20000001</v>
      </c>
      <c r="E9" s="57">
        <f t="shared" si="2"/>
        <v>164456520.46000001</v>
      </c>
      <c r="F9" s="115">
        <f>SUM(F7,F8)</f>
        <v>122551003.25</v>
      </c>
      <c r="G9" s="83" t="s">
        <v>34</v>
      </c>
      <c r="H9" s="57">
        <f>SUM(H7,H8)</f>
        <v>152376194.06999999</v>
      </c>
      <c r="I9" s="57">
        <f>SUM(I7,I8)</f>
        <v>12080325.839999998</v>
      </c>
      <c r="J9" s="57">
        <f t="shared" ref="J9" si="3">SUM(J7,J8)</f>
        <v>164456519.91</v>
      </c>
      <c r="K9" s="57">
        <f>SUM(K7,K8)</f>
        <v>118333715.68000001</v>
      </c>
    </row>
    <row r="10" spans="1:11" x14ac:dyDescent="0.3">
      <c r="B10" s="120" t="s">
        <v>217</v>
      </c>
      <c r="C10" s="17"/>
      <c r="D10" s="17"/>
      <c r="E10" s="17"/>
      <c r="F10" s="17"/>
      <c r="G10" s="141" t="s">
        <v>169</v>
      </c>
      <c r="H10" s="141"/>
      <c r="I10" s="141"/>
      <c r="J10" s="141"/>
      <c r="K10" s="84">
        <f>+F9-K9</f>
        <v>4217287.5699999928</v>
      </c>
    </row>
    <row r="13" spans="1:11" x14ac:dyDescent="0.3">
      <c r="K13" s="55">
        <f>+K9-Despesa!J65</f>
        <v>0</v>
      </c>
    </row>
  </sheetData>
  <mergeCells count="4">
    <mergeCell ref="G3:K3"/>
    <mergeCell ref="B3:F3"/>
    <mergeCell ref="B2:K2"/>
    <mergeCell ref="G10:J1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3" orientation="landscape" r:id="rId1"/>
  <ignoredErrors>
    <ignoredError sqref="I7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Q28"/>
  <sheetViews>
    <sheetView zoomScaleNormal="100" workbookViewId="0">
      <selection activeCell="N30" sqref="N30"/>
    </sheetView>
  </sheetViews>
  <sheetFormatPr defaultColWidth="8.88671875" defaultRowHeight="14.4" x14ac:dyDescent="0.3"/>
  <cols>
    <col min="1" max="1" width="6.44140625" customWidth="1"/>
    <col min="2" max="2" width="27.44140625" customWidth="1"/>
    <col min="3" max="3" width="18.6640625" bestFit="1" customWidth="1"/>
    <col min="4" max="4" width="18.6640625" customWidth="1"/>
    <col min="5" max="5" width="25.109375" customWidth="1"/>
    <col min="6" max="6" width="20.88671875" bestFit="1" customWidth="1"/>
    <col min="7" max="7" width="17.44140625" bestFit="1" customWidth="1"/>
    <col min="8" max="8" width="17.44140625" customWidth="1"/>
    <col min="9" max="9" width="25.88671875" customWidth="1"/>
    <col min="10" max="10" width="23.44140625" customWidth="1"/>
    <col min="11" max="11" width="14.88671875" bestFit="1" customWidth="1"/>
    <col min="12" max="12" width="22.44140625" customWidth="1"/>
    <col min="13" max="13" width="26.88671875" customWidth="1"/>
    <col min="14" max="14" width="20.88671875" bestFit="1" customWidth="1"/>
    <col min="15" max="15" width="7.6640625" bestFit="1" customWidth="1"/>
    <col min="16" max="16" width="13.88671875" bestFit="1" customWidth="1"/>
    <col min="17" max="17" width="13.33203125" bestFit="1" customWidth="1"/>
  </cols>
  <sheetData>
    <row r="3" spans="2:17" x14ac:dyDescent="0.3">
      <c r="B3" s="126" t="s">
        <v>184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2:17" ht="18" x14ac:dyDescent="0.35">
      <c r="B4" s="142" t="s">
        <v>183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2:17" ht="57.6" x14ac:dyDescent="0.3">
      <c r="B5" s="3"/>
      <c r="C5" s="2" t="s">
        <v>49</v>
      </c>
      <c r="D5" s="9" t="s">
        <v>186</v>
      </c>
      <c r="E5" s="9" t="s">
        <v>210</v>
      </c>
      <c r="F5" s="2" t="s">
        <v>170</v>
      </c>
      <c r="G5" s="2" t="s">
        <v>50</v>
      </c>
      <c r="H5" s="9" t="s">
        <v>186</v>
      </c>
      <c r="I5" s="9" t="s">
        <v>211</v>
      </c>
      <c r="J5" s="2" t="s">
        <v>171</v>
      </c>
      <c r="K5" s="2" t="s">
        <v>172</v>
      </c>
      <c r="L5" s="9" t="s">
        <v>186</v>
      </c>
      <c r="M5" s="9" t="s">
        <v>211</v>
      </c>
      <c r="N5" s="2" t="s">
        <v>173</v>
      </c>
    </row>
    <row r="6" spans="2:17" x14ac:dyDescent="0.3">
      <c r="B6" s="2" t="s">
        <v>51</v>
      </c>
      <c r="C6" s="44">
        <v>48558735.280000001</v>
      </c>
      <c r="D6" s="44">
        <f>+E6-C6</f>
        <v>9755484.1999999955</v>
      </c>
      <c r="E6" s="44">
        <v>58314219.479999997</v>
      </c>
      <c r="F6" s="44"/>
      <c r="G6" s="44"/>
      <c r="H6" s="44"/>
      <c r="I6" s="44"/>
      <c r="J6" s="44"/>
      <c r="K6" s="44">
        <f>+C6</f>
        <v>48558735.280000001</v>
      </c>
      <c r="L6" s="44">
        <f>+M6-K6</f>
        <v>9755484.1999999955</v>
      </c>
      <c r="M6" s="44">
        <f>+E6</f>
        <v>58314219.479999997</v>
      </c>
      <c r="N6" s="44">
        <f>+F6</f>
        <v>0</v>
      </c>
    </row>
    <row r="7" spans="2:17" x14ac:dyDescent="0.3">
      <c r="B7" s="2" t="s">
        <v>52</v>
      </c>
      <c r="C7" s="44">
        <v>15219144.069999993</v>
      </c>
      <c r="D7" s="44">
        <f t="shared" ref="D7:D18" si="0">+E7-C7</f>
        <v>0</v>
      </c>
      <c r="E7" s="44">
        <f>73533363.55-58314219.48</f>
        <v>15219144.07</v>
      </c>
      <c r="F7" s="44">
        <f>+'Arrecadação mensal'!H5</f>
        <v>13722247.939999999</v>
      </c>
      <c r="G7" s="44">
        <v>5790364.1899999976</v>
      </c>
      <c r="H7" s="44">
        <f>+I7-G7</f>
        <v>-1007558.1899999976</v>
      </c>
      <c r="I7" s="44">
        <v>4782806</v>
      </c>
      <c r="J7" s="44">
        <v>4356827.75</v>
      </c>
      <c r="K7" s="44">
        <f t="shared" ref="K7:K18" si="1">+K6+C7-G7</f>
        <v>57987515.159999996</v>
      </c>
      <c r="L7" s="44"/>
      <c r="M7" s="44">
        <f t="shared" ref="M7:N18" si="2">+M6+E7-I7</f>
        <v>68750557.549999997</v>
      </c>
      <c r="N7" s="44">
        <f t="shared" si="2"/>
        <v>9365420.1899999995</v>
      </c>
      <c r="P7" s="12"/>
      <c r="Q7" s="55"/>
    </row>
    <row r="8" spans="2:17" x14ac:dyDescent="0.3">
      <c r="B8" s="2" t="s">
        <v>53</v>
      </c>
      <c r="C8" s="44">
        <v>8022462.4699999997</v>
      </c>
      <c r="D8" s="44">
        <f t="shared" si="0"/>
        <v>0</v>
      </c>
      <c r="E8" s="44">
        <v>8022462.4699999997</v>
      </c>
      <c r="F8" s="44">
        <f>+'Arrecadação mensal'!H6</f>
        <v>8839381.8599999994</v>
      </c>
      <c r="G8" s="44">
        <v>5855955.0499999998</v>
      </c>
      <c r="H8" s="44">
        <f t="shared" ref="H8:H18" si="3">+I8-G8</f>
        <v>11138221.949999999</v>
      </c>
      <c r="I8" s="44">
        <v>16994177</v>
      </c>
      <c r="J8" s="44">
        <v>16967172.080000002</v>
      </c>
      <c r="K8" s="44">
        <f t="shared" si="1"/>
        <v>60154022.579999998</v>
      </c>
      <c r="L8" s="44"/>
      <c r="M8" s="44">
        <f t="shared" si="2"/>
        <v>59778843.019999996</v>
      </c>
      <c r="N8" s="44">
        <f t="shared" si="2"/>
        <v>1237629.9699999951</v>
      </c>
      <c r="P8" s="12"/>
      <c r="Q8" s="55"/>
    </row>
    <row r="9" spans="2:17" x14ac:dyDescent="0.3">
      <c r="B9" s="2" t="s">
        <v>54</v>
      </c>
      <c r="C9" s="44">
        <v>7655255.6600000001</v>
      </c>
      <c r="D9" s="44">
        <f t="shared" si="0"/>
        <v>0</v>
      </c>
      <c r="E9" s="44">
        <v>7655255.6600000001</v>
      </c>
      <c r="F9" s="44">
        <f>+'Arrecadação mensal'!H7</f>
        <v>8583964.3199999984</v>
      </c>
      <c r="G9" s="44">
        <v>9048240.9400000013</v>
      </c>
      <c r="H9" s="44">
        <f t="shared" si="3"/>
        <v>-1887115.9400000013</v>
      </c>
      <c r="I9" s="44">
        <v>7161125</v>
      </c>
      <c r="J9" s="44">
        <v>6470874.2299999911</v>
      </c>
      <c r="K9" s="44">
        <f t="shared" si="1"/>
        <v>58761037.299999997</v>
      </c>
      <c r="L9" s="44"/>
      <c r="M9" s="44">
        <f t="shared" si="2"/>
        <v>60272973.679999992</v>
      </c>
      <c r="N9" s="44">
        <f t="shared" si="2"/>
        <v>3350720.0600000024</v>
      </c>
      <c r="P9" s="12"/>
      <c r="Q9" s="55"/>
    </row>
    <row r="10" spans="2:17" x14ac:dyDescent="0.3">
      <c r="B10" s="2" t="s">
        <v>55</v>
      </c>
      <c r="C10" s="44">
        <v>10566979.34</v>
      </c>
      <c r="D10" s="44">
        <f t="shared" si="0"/>
        <v>0</v>
      </c>
      <c r="E10" s="44">
        <v>10566979.34</v>
      </c>
      <c r="F10" s="44">
        <f>+'Arrecadação mensal'!H8</f>
        <v>9332655.7300000004</v>
      </c>
      <c r="G10" s="44">
        <v>8509507.3900000006</v>
      </c>
      <c r="H10" s="44">
        <f t="shared" si="3"/>
        <v>-2977042.3900000006</v>
      </c>
      <c r="I10" s="44">
        <v>5532465</v>
      </c>
      <c r="J10" s="44">
        <v>4663216.3600000031</v>
      </c>
      <c r="K10" s="44">
        <f t="shared" si="1"/>
        <v>60818509.25</v>
      </c>
      <c r="L10" s="44"/>
      <c r="M10" s="44">
        <f t="shared" si="2"/>
        <v>65307488.019999996</v>
      </c>
      <c r="N10" s="44">
        <f t="shared" si="2"/>
        <v>8020159.4299999997</v>
      </c>
      <c r="P10" s="55"/>
      <c r="Q10" s="55"/>
    </row>
    <row r="11" spans="2:17" x14ac:dyDescent="0.3">
      <c r="B11" s="2" t="s">
        <v>56</v>
      </c>
      <c r="C11" s="44">
        <v>7790234.2299999995</v>
      </c>
      <c r="D11" s="44">
        <f t="shared" si="0"/>
        <v>0</v>
      </c>
      <c r="E11" s="44">
        <v>7790234.2299999995</v>
      </c>
      <c r="F11" s="44">
        <f>+'Arrecadação mensal'!H9</f>
        <v>9291257.0800000001</v>
      </c>
      <c r="G11" s="44">
        <v>10957767.99</v>
      </c>
      <c r="H11" s="44">
        <f t="shared" si="3"/>
        <v>-2697410.99</v>
      </c>
      <c r="I11" s="44">
        <v>8260357</v>
      </c>
      <c r="J11" s="44">
        <v>6806967.3500000127</v>
      </c>
      <c r="K11" s="44">
        <f t="shared" si="1"/>
        <v>57650975.490000002</v>
      </c>
      <c r="L11" s="44"/>
      <c r="M11" s="44">
        <f t="shared" si="2"/>
        <v>64837365.25</v>
      </c>
      <c r="N11" s="44">
        <f t="shared" si="2"/>
        <v>10504449.159999985</v>
      </c>
      <c r="Q11" s="55"/>
    </row>
    <row r="12" spans="2:17" x14ac:dyDescent="0.3">
      <c r="B12" s="2" t="s">
        <v>57</v>
      </c>
      <c r="C12" s="44">
        <v>7702154.5899999999</v>
      </c>
      <c r="D12" s="44">
        <f t="shared" si="0"/>
        <v>2324842</v>
      </c>
      <c r="E12" s="44">
        <v>10026996.59</v>
      </c>
      <c r="F12" s="44">
        <f>+'Arrecadação mensal'!H10</f>
        <v>11609391.309999999</v>
      </c>
      <c r="G12" s="44">
        <v>12578529.460000001</v>
      </c>
      <c r="H12" s="44">
        <f t="shared" si="3"/>
        <v>-223281.46000000089</v>
      </c>
      <c r="I12" s="44">
        <v>12355248</v>
      </c>
      <c r="J12" s="44">
        <v>11754947.349999994</v>
      </c>
      <c r="K12" s="44">
        <f t="shared" si="1"/>
        <v>52774600.619999997</v>
      </c>
      <c r="L12" s="44"/>
      <c r="M12" s="44">
        <f t="shared" si="2"/>
        <v>62509113.840000004</v>
      </c>
      <c r="N12" s="44">
        <f t="shared" si="2"/>
        <v>10358893.11999999</v>
      </c>
      <c r="Q12" s="55"/>
    </row>
    <row r="13" spans="2:17" x14ac:dyDescent="0.3">
      <c r="B13" s="2" t="s">
        <v>58</v>
      </c>
      <c r="C13" s="44">
        <v>7597278.1299999999</v>
      </c>
      <c r="D13" s="44">
        <f t="shared" si="0"/>
        <v>0</v>
      </c>
      <c r="E13" s="44">
        <v>7597278.1299999999</v>
      </c>
      <c r="F13" s="44">
        <f>+'Arrecadação mensal'!H11</f>
        <v>10663376.550000001</v>
      </c>
      <c r="G13" s="44">
        <v>20201636.299999993</v>
      </c>
      <c r="H13" s="44">
        <f t="shared" si="3"/>
        <v>-12219888.299999993</v>
      </c>
      <c r="I13" s="44">
        <v>7981748</v>
      </c>
      <c r="J13" s="44">
        <f>8141485.66000001-14300-16844.75-9353.81</f>
        <v>8100987.1000000108</v>
      </c>
      <c r="K13" s="44">
        <f t="shared" si="1"/>
        <v>40170242.450000003</v>
      </c>
      <c r="L13" s="44"/>
      <c r="M13" s="44">
        <f t="shared" si="2"/>
        <v>62124643.969999999</v>
      </c>
      <c r="N13" s="44">
        <f t="shared" si="2"/>
        <v>12921282.56999998</v>
      </c>
      <c r="Q13" s="55"/>
    </row>
    <row r="14" spans="2:17" x14ac:dyDescent="0.3">
      <c r="B14" s="2" t="s">
        <v>59</v>
      </c>
      <c r="C14" s="44">
        <v>7707870.2199999997</v>
      </c>
      <c r="D14" s="44">
        <f t="shared" si="0"/>
        <v>0</v>
      </c>
      <c r="E14" s="44">
        <v>7707870.2199999997</v>
      </c>
      <c r="F14" s="44">
        <f>+'Arrecadação mensal'!H12</f>
        <v>9186371.129999999</v>
      </c>
      <c r="G14" s="44">
        <v>14183043.069999997</v>
      </c>
      <c r="H14" s="44">
        <f t="shared" si="3"/>
        <v>4140587.8300000019</v>
      </c>
      <c r="I14" s="44">
        <f>18323630.9</f>
        <v>18323630.899999999</v>
      </c>
      <c r="J14" s="44">
        <f>7828203.43999998+188300</f>
        <v>8016503.4399999799</v>
      </c>
      <c r="K14" s="44">
        <f t="shared" si="1"/>
        <v>33695069.600000009</v>
      </c>
      <c r="L14" s="44"/>
      <c r="M14" s="44">
        <f t="shared" si="2"/>
        <v>51508883.289999999</v>
      </c>
      <c r="N14" s="44">
        <f t="shared" si="2"/>
        <v>14091150.260000002</v>
      </c>
      <c r="Q14" s="55"/>
    </row>
    <row r="15" spans="2:17" x14ac:dyDescent="0.3">
      <c r="B15" s="2" t="s">
        <v>60</v>
      </c>
      <c r="C15" s="44">
        <v>7940057.5</v>
      </c>
      <c r="D15" s="44">
        <f t="shared" si="0"/>
        <v>0</v>
      </c>
      <c r="E15" s="44">
        <v>7940057.5</v>
      </c>
      <c r="F15" s="44">
        <f>+'Arrecadação mensal'!H13</f>
        <v>10139739.17</v>
      </c>
      <c r="G15" s="44">
        <v>18867237.449999999</v>
      </c>
      <c r="H15" s="44">
        <f t="shared" si="3"/>
        <v>3454866.4499999993</v>
      </c>
      <c r="I15" s="44">
        <v>22322103.899999999</v>
      </c>
      <c r="J15" s="44">
        <v>16982049.540000007</v>
      </c>
      <c r="K15" s="44">
        <f t="shared" si="1"/>
        <v>22767889.65000001</v>
      </c>
      <c r="L15" s="44"/>
      <c r="M15" s="44">
        <f>+M14+E15-I15</f>
        <v>37126836.890000001</v>
      </c>
      <c r="N15" s="44">
        <f>+N14+F15-J15</f>
        <v>7248839.8899999931</v>
      </c>
      <c r="Q15" s="55"/>
    </row>
    <row r="16" spans="2:17" x14ac:dyDescent="0.3">
      <c r="B16" s="2" t="s">
        <v>61</v>
      </c>
      <c r="C16" s="44">
        <v>7786675.04</v>
      </c>
      <c r="D16" s="44">
        <f t="shared" si="0"/>
        <v>0</v>
      </c>
      <c r="E16" s="44">
        <v>7786675.04</v>
      </c>
      <c r="F16" s="44">
        <f>+'Arrecadação mensal'!H14</f>
        <v>9181541.4000000004</v>
      </c>
      <c r="G16" s="44">
        <v>17269056.73</v>
      </c>
      <c r="H16" s="44">
        <f t="shared" si="3"/>
        <v>2346917.1699999981</v>
      </c>
      <c r="I16" s="44">
        <v>19615973.899999999</v>
      </c>
      <c r="J16" s="44">
        <f>8509878.56999999-2325000</f>
        <v>6184878.5699999891</v>
      </c>
      <c r="K16" s="44">
        <f t="shared" si="1"/>
        <v>13285507.960000008</v>
      </c>
      <c r="L16" s="44"/>
      <c r="M16" s="44">
        <f t="shared" si="2"/>
        <v>25297538.030000001</v>
      </c>
      <c r="N16" s="44">
        <f>+N15+F16-J16</f>
        <v>10245502.720000004</v>
      </c>
      <c r="Q16" s="55"/>
    </row>
    <row r="17" spans="2:17" x14ac:dyDescent="0.3">
      <c r="B17" s="2" t="s">
        <v>62</v>
      </c>
      <c r="C17" s="44">
        <v>7939424.6699999999</v>
      </c>
      <c r="D17" s="44">
        <f t="shared" si="0"/>
        <v>0</v>
      </c>
      <c r="E17" s="44">
        <v>7939424.6699999999</v>
      </c>
      <c r="F17" s="44">
        <f>+'Arrecadação mensal'!H15</f>
        <v>11945055.479999999</v>
      </c>
      <c r="G17" s="44">
        <v>12383517.999999996</v>
      </c>
      <c r="H17" s="44">
        <f t="shared" si="3"/>
        <v>8806074.9000000022</v>
      </c>
      <c r="I17" s="44">
        <v>21189592.899999999</v>
      </c>
      <c r="J17" s="44">
        <f>15253295.45-35064.6</f>
        <v>15218230.85</v>
      </c>
      <c r="K17" s="44">
        <f t="shared" si="1"/>
        <v>8841414.6300000139</v>
      </c>
      <c r="L17" s="44"/>
      <c r="M17" s="44">
        <f t="shared" si="2"/>
        <v>12047369.800000004</v>
      </c>
      <c r="N17" s="44">
        <f>+N16+F17-J17</f>
        <v>6972327.3500000034</v>
      </c>
      <c r="Q17" s="55"/>
    </row>
    <row r="18" spans="2:17" x14ac:dyDescent="0.3">
      <c r="B18" s="2" t="s">
        <v>63</v>
      </c>
      <c r="C18" s="44">
        <v>7889923.0599999996</v>
      </c>
      <c r="D18" s="44">
        <f t="shared" si="0"/>
        <v>0</v>
      </c>
      <c r="E18" s="44">
        <v>7889923.0599999996</v>
      </c>
      <c r="F18" s="44">
        <f>+'Arrecadação mensal'!H16</f>
        <v>10056021.280000001</v>
      </c>
      <c r="G18" s="44">
        <v>16731337.690000001</v>
      </c>
      <c r="H18" s="44">
        <f t="shared" si="3"/>
        <v>3205955.1699999981</v>
      </c>
      <c r="I18" s="44">
        <v>19937292.859999999</v>
      </c>
      <c r="J18" s="44">
        <f>12813307.41-0.06-2246.35</f>
        <v>12811061</v>
      </c>
      <c r="K18" s="44">
        <f t="shared" si="1"/>
        <v>0</v>
      </c>
      <c r="L18" s="44"/>
      <c r="M18" s="44">
        <f t="shared" si="2"/>
        <v>0</v>
      </c>
      <c r="N18" s="44">
        <f t="shared" si="2"/>
        <v>4217287.6300000027</v>
      </c>
      <c r="Q18" s="55"/>
    </row>
    <row r="19" spans="2:17" x14ac:dyDescent="0.3">
      <c r="B19" s="2" t="s">
        <v>34</v>
      </c>
      <c r="C19" s="44">
        <f>SUM(C6:C18)</f>
        <v>152376194.25999999</v>
      </c>
      <c r="D19" s="44">
        <f>SUM(D6:D18)</f>
        <v>12080326.199999996</v>
      </c>
      <c r="E19" s="44">
        <f t="shared" ref="E19" si="4">SUM(E6:E18)</f>
        <v>164456520.45999998</v>
      </c>
      <c r="F19" s="44">
        <f>SUM(F6:F18)</f>
        <v>122551003.25</v>
      </c>
      <c r="G19" s="44">
        <f>SUM(G7:G18)</f>
        <v>152376194.25999999</v>
      </c>
      <c r="H19" s="44">
        <f t="shared" ref="H19:I19" si="5">SUM(H7:H18)</f>
        <v>12080326.200000005</v>
      </c>
      <c r="I19" s="44">
        <f t="shared" si="5"/>
        <v>164456520.46000004</v>
      </c>
      <c r="J19" s="44">
        <f>SUM(J7:J18)</f>
        <v>118333715.61999999</v>
      </c>
      <c r="K19" s="44">
        <f>+K18</f>
        <v>0</v>
      </c>
      <c r="L19" s="44">
        <f t="shared" ref="L19" si="6">+L18</f>
        <v>0</v>
      </c>
      <c r="M19" s="44">
        <f>+M18</f>
        <v>0</v>
      </c>
      <c r="N19" s="44">
        <f>+N18</f>
        <v>4217287.6300000027</v>
      </c>
    </row>
    <row r="20" spans="2:17" x14ac:dyDescent="0.3">
      <c r="N20" s="55"/>
    </row>
    <row r="21" spans="2:17" x14ac:dyDescent="0.3">
      <c r="B21" s="143" t="s">
        <v>197</v>
      </c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</row>
    <row r="22" spans="2:17" x14ac:dyDescent="0.3">
      <c r="K22" s="55"/>
      <c r="L22" s="55"/>
      <c r="N22" s="55">
        <f>+N19-'Resultados financeiros'!C12</f>
        <v>6.0000009834766388E-2</v>
      </c>
    </row>
    <row r="23" spans="2:17" x14ac:dyDescent="0.3">
      <c r="C23" s="55"/>
      <c r="J23" s="12"/>
      <c r="K23" s="55"/>
      <c r="L23" s="55"/>
      <c r="M23" s="97"/>
      <c r="N23" s="8"/>
    </row>
    <row r="24" spans="2:17" x14ac:dyDescent="0.3">
      <c r="C24" s="82"/>
      <c r="J24" s="12"/>
      <c r="K24" s="55"/>
      <c r="N24" s="55"/>
    </row>
    <row r="25" spans="2:17" x14ac:dyDescent="0.3">
      <c r="N25" s="55"/>
    </row>
    <row r="26" spans="2:17" x14ac:dyDescent="0.3">
      <c r="N26" s="55"/>
    </row>
    <row r="27" spans="2:17" x14ac:dyDescent="0.3">
      <c r="N27" s="8"/>
    </row>
    <row r="28" spans="2:17" x14ac:dyDescent="0.3">
      <c r="N28" s="8"/>
    </row>
  </sheetData>
  <mergeCells count="3">
    <mergeCell ref="B4:N4"/>
    <mergeCell ref="B3:N3"/>
    <mergeCell ref="B21:N21"/>
  </mergeCells>
  <printOptions horizontalCentered="1" verticalCentered="1"/>
  <pageMargins left="0.25" right="0.25" top="0.75" bottom="0.75" header="0.3" footer="0.3"/>
  <pageSetup paperSize="3" orientation="landscape" r:id="rId1"/>
  <ignoredErrors>
    <ignoredError sqref="L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C68278B46F4646989E8F7A72793ACF" ma:contentTypeVersion="11" ma:contentTypeDescription="Crie um novo documento." ma:contentTypeScope="" ma:versionID="6410c41704444d8179413ff676535c23">
  <xsd:schema xmlns:xsd="http://www.w3.org/2001/XMLSchema" xmlns:xs="http://www.w3.org/2001/XMLSchema" xmlns:p="http://schemas.microsoft.com/office/2006/metadata/properties" xmlns:ns2="e53a2e4f-be1b-46df-829b-e3c44b1ba21e" xmlns:ns3="55e02042-c310-4e41-8048-259ce0d61367" targetNamespace="http://schemas.microsoft.com/office/2006/metadata/properties" ma:root="true" ma:fieldsID="3b196dc2d2402d073a14eb13b0441ad2" ns2:_="" ns3:_="">
    <xsd:import namespace="e53a2e4f-be1b-46df-829b-e3c44b1ba21e"/>
    <xsd:import namespace="55e02042-c310-4e41-8048-259ce0d613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a2e4f-be1b-46df-829b-e3c44b1ba2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e02042-c310-4e41-8048-259ce0d6136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139AED-CED4-4A5E-9CCE-E17E65C8C6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78AFC2-FCC7-41DC-9EAC-B48CECF6A89D}">
  <ds:schemaRefs>
    <ds:schemaRef ds:uri="http://purl.org/dc/elements/1.1/"/>
    <ds:schemaRef ds:uri="http://schemas.microsoft.com/office/2006/metadata/properties"/>
    <ds:schemaRef ds:uri="http://www.w3.org/XML/1998/namespace"/>
    <ds:schemaRef ds:uri="e53a2e4f-be1b-46df-829b-e3c44b1ba21e"/>
    <ds:schemaRef ds:uri="http://purl.org/dc/terms/"/>
    <ds:schemaRef ds:uri="http://schemas.microsoft.com/office/2006/documentManagement/types"/>
    <ds:schemaRef ds:uri="55e02042-c310-4e41-8048-259ce0d61367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0321FAE-E0D2-4248-BD31-1150503AD3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3a2e4f-be1b-46df-829b-e3c44b1ba21e"/>
    <ds:schemaRef ds:uri="55e02042-c310-4e41-8048-259ce0d613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10</vt:i4>
      </vt:variant>
    </vt:vector>
  </HeadingPairs>
  <TitlesOfParts>
    <vt:vector size="20" baseType="lpstr">
      <vt:lpstr>Receita</vt:lpstr>
      <vt:lpstr>Arrecadação mensal</vt:lpstr>
      <vt:lpstr>Fontes de Recursos</vt:lpstr>
      <vt:lpstr>Saldo de Exercícios Anteriores</vt:lpstr>
      <vt:lpstr>Despesa</vt:lpstr>
      <vt:lpstr>Resultados financeiros</vt:lpstr>
      <vt:lpstr>Resumo</vt:lpstr>
      <vt:lpstr>Receita X Despesa</vt:lpstr>
      <vt:lpstr> Fluxo de Caixa</vt:lpstr>
      <vt:lpstr>Ações</vt:lpstr>
      <vt:lpstr>' Fluxo de Caixa'!Area_de_impressao</vt:lpstr>
      <vt:lpstr>Ações!Area_de_impressao</vt:lpstr>
      <vt:lpstr>'Arrecadação mensal'!Area_de_impressao</vt:lpstr>
      <vt:lpstr>Despesa!Area_de_impressao</vt:lpstr>
      <vt:lpstr>'Fontes de Recursos'!Area_de_impressao</vt:lpstr>
      <vt:lpstr>Receita!Area_de_impressao</vt:lpstr>
      <vt:lpstr>'Receita X Despesa'!Area_de_impressao</vt:lpstr>
      <vt:lpstr>'Resultados financeiros'!Area_de_impressao</vt:lpstr>
      <vt:lpstr>Resumo!Area_de_impressao</vt:lpstr>
      <vt:lpstr>'Saldo de Exercícios Anteriores'!Area_de_impressao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Henrique</dc:creator>
  <cp:lastModifiedBy>Joelma de Brito Cardoso Barreto</cp:lastModifiedBy>
  <cp:lastPrinted>2023-03-09T15:55:02Z</cp:lastPrinted>
  <dcterms:created xsi:type="dcterms:W3CDTF">2020-05-13T15:27:08Z</dcterms:created>
  <dcterms:modified xsi:type="dcterms:W3CDTF">2023-03-09T15:55:29Z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0x0101009CC68278B46F4646989E8F7A72793ACF</vt:lpwstr>
  </property>
</Properties>
</file>